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cperezma\Downloads\"/>
    </mc:Choice>
  </mc:AlternateContent>
  <xr:revisionPtr revIDLastSave="0" documentId="13_ncr:1_{5FD2CB2E-0AB3-4716-9377-40BA854C2087}" xr6:coauthVersionLast="47" xr6:coauthVersionMax="47" xr10:uidLastSave="{00000000-0000-0000-0000-000000000000}"/>
  <workbookProtection workbookAlgorithmName="SHA-512" workbookHashValue="6AWxAqrmfFurYTTl/CI4Jqj7Y2pwzuFDV2iovO6zF0aqdm1HAk1PO2DyZ6kuojr4EIeyKNAAPW4Ng9z7ojULhw==" workbookSaltValue="cUwZsb8ptvZWbISk/JjitQ==" workbookSpinCount="100000" lockStructure="1"/>
  <bookViews>
    <workbookView xWindow="-28920" yWindow="-120" windowWidth="29040" windowHeight="15720" tabRatio="555" xr2:uid="{00000000-000D-0000-FFFF-FFFF00000000}"/>
  </bookViews>
  <sheets>
    <sheet name="2024_2025" sheetId="1" r:id="rId1"/>
    <sheet name="2025_2025" sheetId="12" r:id="rId2"/>
    <sheet name="ATRASOS" sheetId="8" r:id="rId3"/>
    <sheet name="PROGRESIÓN SALARIAL" sheetId="2" r:id="rId4"/>
    <sheet name=" CONCEPTOS EN NÓMINA" sheetId="7" r:id="rId5"/>
    <sheet name="TABLAS" sheetId="3" r:id="rId6"/>
    <sheet name="Versiones" sheetId="10" r:id="rId7"/>
    <sheet name="LISTAS" sheetId="4" state="hidden" r:id="rId8"/>
    <sheet name="registro retributivo" sheetId="6" state="hidden" r:id="rId9"/>
  </sheets>
  <definedNames>
    <definedName name="_xlnm._FilterDatabase" localSheetId="8" hidden="1">'registro retributivo'!$A$1:$E$173</definedName>
    <definedName name="absorbe_solo_tablas">LISTAS!$F$36:$F$37</definedName>
    <definedName name="años_antiguedad">LISTAS!$H$2:$H$47</definedName>
    <definedName name="_xlnm.Print_Area" localSheetId="4">' CONCEPTOS EN NÓMINA'!$B$2:$E$73</definedName>
    <definedName name="_xlnm.Print_Area" localSheetId="0">'2024_2025'!$B$1:$Z$69</definedName>
    <definedName name="_xlnm.Print_Area" localSheetId="1">'2025_2025'!$B$1:$Z$69</definedName>
    <definedName name="_xlnm.Print_Area" localSheetId="2">ATRASOS!$B$1:$P$69</definedName>
    <definedName name="_xlnm.Print_Area" localSheetId="3">'PROGRESIÓN SALARIAL'!$A$1:$AV$34</definedName>
    <definedName name="_xlnm.Print_Area" localSheetId="5">TABLAS!$A$1:$R$60</definedName>
    <definedName name="cat">TABLAS!$D$3:$D$60</definedName>
    <definedName name="cat_2024">LISTAS!$B$2:$B$48</definedName>
    <definedName name="cat_2025">LISTAS!$D$2:$D$59</definedName>
    <definedName name="categorias2024">LISTAS!$A$2:$A$48</definedName>
    <definedName name="categorias2025">LISTAS!$C$2:$C$59</definedName>
    <definedName name="Complemento_absorbe_Antig">LISTAS!$F$25:$F$26</definedName>
    <definedName name="Complemento_Absorbible">LISTAS!$F$20:$F$21</definedName>
    <definedName name="Complemento_Absorbible_2025">LISTAS!$F$22:$F$24</definedName>
    <definedName name="consolidado">LISTAS!$F$34:$F$35</definedName>
    <definedName name="Descuentos">LISTAS!$F$10:$F$11</definedName>
    <definedName name="EX_PLUS_CONVENIO_2022">LISTAS!$F$8:$F$9</definedName>
    <definedName name="EX_SALARIO_BASE_2022">LISTAS!$F$6:$F$7</definedName>
    <definedName name="Gastos_Teletrabajo">LISTAS!$F$4:$F$5</definedName>
    <definedName name="Otros_Conceptos">LISTAS!$F$18:$F$19</definedName>
    <definedName name="Otros_conceptos_extrasalariales">LISTAS!$F$16:$F$17</definedName>
    <definedName name="Otros_conceptos_NO_PSI">LISTAS!$F$14:$F$15</definedName>
    <definedName name="Otros_conceptos_PSI">LISTAS!$F$12:$F$13</definedName>
    <definedName name="prorrata">LISTAS!$F$2:$F$3</definedName>
    <definedName name="subida">LISTAS!$F$27:$F$28</definedName>
    <definedName name="T_2024">LISTAS!$F$29</definedName>
    <definedName name="T_2025">LISTAS!$F$30:$F$31</definedName>
    <definedName name="T_2026">LISTAS!$F$32</definedName>
    <definedName name="T_2027">LISTAS!$F$33</definedName>
    <definedName name="_xlnm.Print_Titles" localSheetId="5">TABLAS!$1:$2</definedName>
    <definedName name="ver">LISTAS!$J$8:$J$9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12" l="1"/>
  <c r="J66" i="12"/>
  <c r="J65" i="12"/>
  <c r="S64" i="12"/>
  <c r="J64" i="12"/>
  <c r="J63" i="12"/>
  <c r="J59" i="12"/>
  <c r="J58" i="12"/>
  <c r="J57" i="12"/>
  <c r="J56" i="12"/>
  <c r="J55" i="12"/>
  <c r="J53" i="12"/>
  <c r="J51" i="12"/>
  <c r="V45" i="12"/>
  <c r="U45" i="12"/>
  <c r="G45" i="12"/>
  <c r="F45" i="12"/>
  <c r="S40" i="12"/>
  <c r="W38" i="12"/>
  <c r="Y38" i="12" s="1"/>
  <c r="N38" i="12" s="1"/>
  <c r="V38" i="12"/>
  <c r="G38" i="12"/>
  <c r="J38" i="12" s="1"/>
  <c r="S37" i="12"/>
  <c r="S36" i="12"/>
  <c r="S35" i="12"/>
  <c r="S33" i="12"/>
  <c r="N33" i="12"/>
  <c r="S32" i="12"/>
  <c r="I32" i="12"/>
  <c r="W32" i="12" s="1"/>
  <c r="X32" i="12" s="1"/>
  <c r="N32" i="12" s="1"/>
  <c r="S31" i="12"/>
  <c r="I31" i="12"/>
  <c r="W31" i="12" s="1"/>
  <c r="X31" i="12" s="1"/>
  <c r="S30" i="12"/>
  <c r="I30" i="12"/>
  <c r="W30" i="12" s="1"/>
  <c r="V29" i="12"/>
  <c r="S29" i="12"/>
  <c r="I29" i="12"/>
  <c r="W29" i="12" s="1"/>
  <c r="G29" i="12"/>
  <c r="S28" i="12"/>
  <c r="S27" i="12"/>
  <c r="J27" i="12"/>
  <c r="I27" i="12"/>
  <c r="J26" i="12"/>
  <c r="I26" i="12"/>
  <c r="J25" i="12"/>
  <c r="I25" i="12"/>
  <c r="S24" i="12"/>
  <c r="J24" i="12"/>
  <c r="Y24" i="12" s="1"/>
  <c r="I24" i="12"/>
  <c r="S22" i="12"/>
  <c r="J22" i="12"/>
  <c r="I22" i="12"/>
  <c r="S20" i="12"/>
  <c r="J20" i="12"/>
  <c r="I20" i="12"/>
  <c r="S14" i="12"/>
  <c r="V14" i="12" s="1"/>
  <c r="G14" i="12"/>
  <c r="J19" i="12" s="1"/>
  <c r="Y12" i="12"/>
  <c r="W10" i="12" s="1"/>
  <c r="X10" i="12" s="1"/>
  <c r="W12" i="12"/>
  <c r="H10" i="12"/>
  <c r="I10" i="12" s="1"/>
  <c r="J10" i="12" s="1"/>
  <c r="V1" i="12"/>
  <c r="W12" i="1"/>
  <c r="J22" i="1"/>
  <c r="Y22" i="1" s="1"/>
  <c r="J24" i="1"/>
  <c r="Y24" i="1" s="1"/>
  <c r="J25" i="1"/>
  <c r="J26" i="1"/>
  <c r="J27" i="1"/>
  <c r="J20" i="1"/>
  <c r="J58" i="1"/>
  <c r="S27" i="1"/>
  <c r="I27" i="1"/>
  <c r="J55" i="1"/>
  <c r="S24" i="1"/>
  <c r="I24" i="1"/>
  <c r="W24" i="12" l="1"/>
  <c r="S55" i="12" s="1"/>
  <c r="N55" i="12" s="1"/>
  <c r="J23" i="12"/>
  <c r="Y22" i="12"/>
  <c r="Y20" i="12"/>
  <c r="S59" i="12"/>
  <c r="N59" i="12" s="1"/>
  <c r="X30" i="12"/>
  <c r="N30" i="12" s="1"/>
  <c r="S65" i="12"/>
  <c r="N31" i="12"/>
  <c r="X24" i="12"/>
  <c r="N24" i="12" s="1"/>
  <c r="AA24" i="12"/>
  <c r="AB24" i="12" s="1"/>
  <c r="X29" i="12"/>
  <c r="S63" i="12"/>
  <c r="N29" i="12"/>
  <c r="Y10" i="12"/>
  <c r="AC23" i="12" s="1"/>
  <c r="AC25" i="12" s="1"/>
  <c r="AC30" i="12" s="1"/>
  <c r="Y19" i="12"/>
  <c r="Y21" i="12"/>
  <c r="H19" i="12"/>
  <c r="H21" i="12"/>
  <c r="AE27" i="12"/>
  <c r="W24" i="1"/>
  <c r="X24" i="1" s="1"/>
  <c r="N24" i="1" s="1"/>
  <c r="AE27" i="1"/>
  <c r="S34" i="1" s="1"/>
  <c r="F18" i="8"/>
  <c r="D27" i="8" s="1"/>
  <c r="S14" i="1"/>
  <c r="V1" i="1"/>
  <c r="B1" i="10"/>
  <c r="L20" i="8"/>
  <c r="I20" i="8"/>
  <c r="I5" i="2"/>
  <c r="C12" i="2" s="1"/>
  <c r="K5" i="4"/>
  <c r="K4" i="4"/>
  <c r="K3" i="4"/>
  <c r="Q47" i="3"/>
  <c r="Q48" i="3"/>
  <c r="Q49" i="3"/>
  <c r="Q50" i="3"/>
  <c r="Q51" i="3"/>
  <c r="Q52" i="3"/>
  <c r="Q53" i="3"/>
  <c r="Q54" i="3"/>
  <c r="Q55" i="3"/>
  <c r="Q56" i="3"/>
  <c r="Q3" i="3"/>
  <c r="Q4" i="3"/>
  <c r="Q14" i="3"/>
  <c r="Q15" i="3"/>
  <c r="Q16" i="3"/>
  <c r="Q25" i="3"/>
  <c r="Q26" i="3"/>
  <c r="Q27" i="3"/>
  <c r="Q28" i="3"/>
  <c r="Q29" i="3"/>
  <c r="Q30" i="3"/>
  <c r="Q31" i="3"/>
  <c r="Q32" i="3"/>
  <c r="Q33" i="3"/>
  <c r="Q34" i="3"/>
  <c r="Q36" i="3"/>
  <c r="Q37" i="3"/>
  <c r="Q38" i="3"/>
  <c r="Q39" i="3"/>
  <c r="Q40" i="3"/>
  <c r="Q41" i="3"/>
  <c r="Q42" i="3"/>
  <c r="Q43" i="3"/>
  <c r="Q44" i="3"/>
  <c r="Q45" i="3"/>
  <c r="G14" i="1"/>
  <c r="X58" i="3"/>
  <c r="Y58" i="3"/>
  <c r="T25" i="3"/>
  <c r="T26" i="3"/>
  <c r="T27" i="3"/>
  <c r="T28" i="3"/>
  <c r="T29" i="3"/>
  <c r="T30" i="3"/>
  <c r="T31" i="3"/>
  <c r="T32" i="3"/>
  <c r="T33" i="3"/>
  <c r="T34" i="3"/>
  <c r="T35" i="3"/>
  <c r="T36" i="3"/>
  <c r="T37" i="3"/>
  <c r="T38" i="3"/>
  <c r="T39" i="3"/>
  <c r="T40" i="3"/>
  <c r="T41" i="3"/>
  <c r="T42" i="3"/>
  <c r="T43" i="3"/>
  <c r="T44" i="3"/>
  <c r="T45" i="3"/>
  <c r="T46" i="3"/>
  <c r="T59" i="3"/>
  <c r="T60" i="3"/>
  <c r="S25" i="3"/>
  <c r="S26" i="3"/>
  <c r="S27" i="3"/>
  <c r="S28" i="3"/>
  <c r="S29" i="3"/>
  <c r="S30" i="3"/>
  <c r="S31" i="3"/>
  <c r="S32" i="3"/>
  <c r="S33" i="3"/>
  <c r="S34" i="3"/>
  <c r="S35" i="3"/>
  <c r="S36" i="3"/>
  <c r="S37" i="3"/>
  <c r="S38" i="3"/>
  <c r="S39" i="3"/>
  <c r="S40" i="3"/>
  <c r="S41" i="3"/>
  <c r="S42" i="3"/>
  <c r="S43" i="3"/>
  <c r="S44" i="3"/>
  <c r="S45" i="3"/>
  <c r="S46" i="3"/>
  <c r="S47" i="3"/>
  <c r="S48" i="3"/>
  <c r="S49" i="3"/>
  <c r="S50" i="3"/>
  <c r="S51" i="3"/>
  <c r="S52" i="3"/>
  <c r="S53" i="3"/>
  <c r="S54" i="3"/>
  <c r="S55" i="3"/>
  <c r="S56" i="3"/>
  <c r="S57" i="3"/>
  <c r="S59" i="3"/>
  <c r="S60" i="3"/>
  <c r="S14" i="3"/>
  <c r="S15" i="3"/>
  <c r="S16" i="3"/>
  <c r="S17" i="3"/>
  <c r="S3" i="3"/>
  <c r="S4" i="3"/>
  <c r="S5" i="3"/>
  <c r="T14" i="3"/>
  <c r="T15" i="3"/>
  <c r="T16" i="3"/>
  <c r="T17" i="3"/>
  <c r="T3" i="3"/>
  <c r="T4" i="3"/>
  <c r="T5" i="3"/>
  <c r="C15" i="2"/>
  <c r="C3" i="2"/>
  <c r="W38" i="1"/>
  <c r="C21" i="8"/>
  <c r="B58" i="8"/>
  <c r="B57" i="8"/>
  <c r="B55" i="8"/>
  <c r="B54" i="8"/>
  <c r="B52" i="8"/>
  <c r="B50" i="8"/>
  <c r="B56" i="8"/>
  <c r="N33" i="1"/>
  <c r="B9" i="2"/>
  <c r="J57" i="1"/>
  <c r="AC31" i="12" l="1"/>
  <c r="S34" i="12"/>
  <c r="J21" i="12"/>
  <c r="AA21" i="12" s="1"/>
  <c r="J52" i="12"/>
  <c r="I21" i="12"/>
  <c r="N10" i="12"/>
  <c r="J50" i="12"/>
  <c r="H23" i="12"/>
  <c r="I19" i="12"/>
  <c r="S66" i="12"/>
  <c r="N66" i="12" s="1"/>
  <c r="N63" i="12"/>
  <c r="W21" i="12"/>
  <c r="AA20" i="12"/>
  <c r="W20" i="12"/>
  <c r="S16" i="12"/>
  <c r="W19" i="12"/>
  <c r="Y23" i="12"/>
  <c r="AA19" i="12"/>
  <c r="AA22" i="12"/>
  <c r="W22" i="12"/>
  <c r="S55" i="1"/>
  <c r="N55" i="1" s="1"/>
  <c r="H21" i="1"/>
  <c r="J21" i="1" s="1"/>
  <c r="J19" i="1"/>
  <c r="D25" i="8"/>
  <c r="F20" i="8"/>
  <c r="D47" i="8" s="1"/>
  <c r="H19" i="1"/>
  <c r="L18" i="8"/>
  <c r="D8" i="8"/>
  <c r="D29" i="8" s="1"/>
  <c r="D7" i="8"/>
  <c r="V38" i="1"/>
  <c r="G38" i="1"/>
  <c r="J38" i="1" s="1"/>
  <c r="H37" i="3"/>
  <c r="I37" i="3"/>
  <c r="J37" i="3"/>
  <c r="R37" i="3" s="1"/>
  <c r="H38" i="3"/>
  <c r="I38" i="3"/>
  <c r="J38" i="3"/>
  <c r="R38" i="3" s="1"/>
  <c r="H39" i="3"/>
  <c r="I39" i="3"/>
  <c r="J39" i="3"/>
  <c r="R39" i="3" s="1"/>
  <c r="H40" i="3"/>
  <c r="I40" i="3"/>
  <c r="J40" i="3"/>
  <c r="R40" i="3" s="1"/>
  <c r="H41" i="3"/>
  <c r="I41" i="3"/>
  <c r="J41" i="3"/>
  <c r="R41" i="3" s="1"/>
  <c r="H42" i="3"/>
  <c r="I42" i="3"/>
  <c r="J42" i="3"/>
  <c r="R42" i="3" s="1"/>
  <c r="H43" i="3"/>
  <c r="I43" i="3"/>
  <c r="J43" i="3"/>
  <c r="R43" i="3" s="1"/>
  <c r="H44" i="3"/>
  <c r="I44" i="3"/>
  <c r="J44" i="3"/>
  <c r="R44" i="3" s="1"/>
  <c r="H45" i="3"/>
  <c r="I45" i="3"/>
  <c r="J45" i="3"/>
  <c r="R45" i="3" s="1"/>
  <c r="H46" i="3"/>
  <c r="I46" i="3"/>
  <c r="J46" i="3"/>
  <c r="R46" i="3" s="1"/>
  <c r="H47" i="3"/>
  <c r="I47" i="3"/>
  <c r="J47" i="3"/>
  <c r="H48" i="3"/>
  <c r="I48" i="3"/>
  <c r="J48" i="3"/>
  <c r="H49" i="3"/>
  <c r="I49" i="3"/>
  <c r="J49" i="3"/>
  <c r="H50" i="3"/>
  <c r="I50" i="3"/>
  <c r="J50" i="3"/>
  <c r="H51" i="3"/>
  <c r="I51" i="3"/>
  <c r="J51" i="3"/>
  <c r="H52" i="3"/>
  <c r="I52" i="3"/>
  <c r="J52" i="3"/>
  <c r="H53" i="3"/>
  <c r="I53" i="3"/>
  <c r="J53" i="3"/>
  <c r="H54" i="3"/>
  <c r="I54" i="3"/>
  <c r="J54" i="3"/>
  <c r="H55" i="3"/>
  <c r="I55" i="3"/>
  <c r="J55" i="3"/>
  <c r="H56" i="3"/>
  <c r="I56" i="3"/>
  <c r="J56" i="3"/>
  <c r="H57" i="3"/>
  <c r="I57" i="3"/>
  <c r="J57" i="3"/>
  <c r="H59" i="3"/>
  <c r="I59" i="3"/>
  <c r="J59" i="3"/>
  <c r="R59" i="3" s="1"/>
  <c r="H60" i="3"/>
  <c r="I60" i="3"/>
  <c r="J60" i="3"/>
  <c r="R60" i="3" s="1"/>
  <c r="I36" i="3"/>
  <c r="J36" i="3"/>
  <c r="R36" i="3" s="1"/>
  <c r="H36" i="3"/>
  <c r="H26" i="3"/>
  <c r="I26" i="3"/>
  <c r="J26" i="3"/>
  <c r="R26" i="3" s="1"/>
  <c r="H27" i="3"/>
  <c r="I27" i="3"/>
  <c r="J27" i="3"/>
  <c r="R27" i="3" s="1"/>
  <c r="H28" i="3"/>
  <c r="I28" i="3"/>
  <c r="J28" i="3"/>
  <c r="R28" i="3" s="1"/>
  <c r="H29" i="3"/>
  <c r="I29" i="3"/>
  <c r="J29" i="3"/>
  <c r="R29" i="3" s="1"/>
  <c r="H30" i="3"/>
  <c r="I30" i="3"/>
  <c r="J30" i="3"/>
  <c r="R30" i="3" s="1"/>
  <c r="H31" i="3"/>
  <c r="I31" i="3"/>
  <c r="J31" i="3"/>
  <c r="R31" i="3" s="1"/>
  <c r="H32" i="3"/>
  <c r="I32" i="3"/>
  <c r="J32" i="3"/>
  <c r="R32" i="3" s="1"/>
  <c r="H33" i="3"/>
  <c r="I33" i="3"/>
  <c r="J33" i="3"/>
  <c r="R33" i="3" s="1"/>
  <c r="H34" i="3"/>
  <c r="I34" i="3"/>
  <c r="J34" i="3"/>
  <c r="R34" i="3" s="1"/>
  <c r="H35" i="3"/>
  <c r="I35" i="3"/>
  <c r="J35" i="3"/>
  <c r="R35" i="3" s="1"/>
  <c r="I25" i="3"/>
  <c r="J25" i="3"/>
  <c r="R25" i="3" s="1"/>
  <c r="H25" i="3"/>
  <c r="X14" i="3"/>
  <c r="Y14" i="3"/>
  <c r="X15" i="3"/>
  <c r="Y15" i="3"/>
  <c r="X16" i="3"/>
  <c r="Y16" i="3"/>
  <c r="X17" i="3"/>
  <c r="Y17" i="3"/>
  <c r="X18" i="3"/>
  <c r="Y18" i="3"/>
  <c r="X19" i="3"/>
  <c r="Y19" i="3"/>
  <c r="X20" i="3"/>
  <c r="Y20" i="3"/>
  <c r="X21" i="3"/>
  <c r="Y21" i="3"/>
  <c r="X22" i="3"/>
  <c r="Y22" i="3"/>
  <c r="X23" i="3"/>
  <c r="Y23" i="3"/>
  <c r="X24" i="3"/>
  <c r="Y24" i="3"/>
  <c r="J14" i="3"/>
  <c r="R14" i="3" s="1"/>
  <c r="J15" i="3"/>
  <c r="R15" i="3" s="1"/>
  <c r="J16" i="3"/>
  <c r="R16" i="3" s="1"/>
  <c r="J17" i="3"/>
  <c r="Y3" i="3"/>
  <c r="Y4" i="3"/>
  <c r="Y5" i="3"/>
  <c r="Y6" i="3"/>
  <c r="Y7" i="3"/>
  <c r="Y8" i="3"/>
  <c r="Y9" i="3"/>
  <c r="Y10" i="3"/>
  <c r="Y11" i="3"/>
  <c r="Y12" i="3"/>
  <c r="Y13" i="3"/>
  <c r="X3" i="3"/>
  <c r="X4" i="3"/>
  <c r="X5" i="3"/>
  <c r="X6" i="3"/>
  <c r="X7" i="3"/>
  <c r="X8" i="3"/>
  <c r="X9" i="3"/>
  <c r="X10" i="3"/>
  <c r="X11" i="3"/>
  <c r="X12" i="3"/>
  <c r="X13" i="3"/>
  <c r="J3" i="3"/>
  <c r="J4" i="3"/>
  <c r="J5" i="3"/>
  <c r="D12" i="2"/>
  <c r="E12" i="2" s="1"/>
  <c r="F12" i="2" s="1"/>
  <c r="G12" i="2" s="1"/>
  <c r="G45" i="1"/>
  <c r="V45" i="1"/>
  <c r="U45" i="1"/>
  <c r="H2" i="4"/>
  <c r="H3" i="4" s="1"/>
  <c r="H4" i="4" s="1"/>
  <c r="H5" i="4" s="1"/>
  <c r="H6" i="4" s="1"/>
  <c r="H7" i="4" s="1"/>
  <c r="H8" i="4" s="1"/>
  <c r="H9" i="4" s="1"/>
  <c r="D15" i="2"/>
  <c r="J65" i="1"/>
  <c r="S64" i="1"/>
  <c r="J64" i="1"/>
  <c r="I31" i="1"/>
  <c r="S31" i="1"/>
  <c r="J59" i="1"/>
  <c r="J63" i="1"/>
  <c r="J56" i="1"/>
  <c r="J53" i="1"/>
  <c r="J51" i="1"/>
  <c r="I26" i="1"/>
  <c r="S53" i="12" l="1"/>
  <c r="N53" i="12" s="1"/>
  <c r="X22" i="12"/>
  <c r="N22" i="12" s="1"/>
  <c r="AA23" i="12"/>
  <c r="AB23" i="12" s="1"/>
  <c r="W23" i="12"/>
  <c r="AB19" i="12"/>
  <c r="S50" i="12"/>
  <c r="X19" i="12"/>
  <c r="I23" i="12"/>
  <c r="H35" i="12" s="1"/>
  <c r="J54" i="12"/>
  <c r="J60" i="12" s="1"/>
  <c r="J69" i="12" s="1"/>
  <c r="X21" i="12"/>
  <c r="N21" i="12" s="1"/>
  <c r="S52" i="12"/>
  <c r="N52" i="12" s="1"/>
  <c r="S51" i="12"/>
  <c r="N51" i="12" s="1"/>
  <c r="X20" i="12"/>
  <c r="N20" i="12" s="1"/>
  <c r="I22" i="8"/>
  <c r="D2" i="3"/>
  <c r="J24" i="3" s="1"/>
  <c r="T24" i="3" s="1"/>
  <c r="D1" i="3"/>
  <c r="W31" i="1"/>
  <c r="X31" i="1" s="1"/>
  <c r="S65" i="1" s="1"/>
  <c r="D28" i="8"/>
  <c r="D19" i="8"/>
  <c r="E15" i="2"/>
  <c r="R3" i="3"/>
  <c r="R5" i="3"/>
  <c r="H17" i="3"/>
  <c r="I4" i="3"/>
  <c r="R4" i="3"/>
  <c r="R17" i="3"/>
  <c r="D48" i="8"/>
  <c r="H10" i="4"/>
  <c r="H11" i="4" s="1"/>
  <c r="H12" i="4" s="1"/>
  <c r="H13" i="4" s="1"/>
  <c r="H14" i="4" s="1"/>
  <c r="H15" i="4" s="1"/>
  <c r="H16" i="4" s="1"/>
  <c r="H17" i="4" s="1"/>
  <c r="H18" i="4" s="1"/>
  <c r="H19" i="4" s="1"/>
  <c r="H20" i="4" s="1"/>
  <c r="H21" i="4" s="1"/>
  <c r="H22" i="4" s="1"/>
  <c r="H23" i="4" s="1"/>
  <c r="H24" i="4" s="1"/>
  <c r="H25" i="4" s="1"/>
  <c r="H26" i="4" s="1"/>
  <c r="H27" i="4" s="1"/>
  <c r="H28" i="4" s="1"/>
  <c r="H29" i="4" s="1"/>
  <c r="H30" i="4" s="1"/>
  <c r="H31" i="4" s="1"/>
  <c r="H32" i="4" s="1"/>
  <c r="H33" i="4" s="1"/>
  <c r="H34" i="4" s="1"/>
  <c r="H35" i="4" s="1"/>
  <c r="H36" i="4" s="1"/>
  <c r="H37" i="4" s="1"/>
  <c r="H38" i="4" s="1"/>
  <c r="H39" i="4" s="1"/>
  <c r="H40" i="4" s="1"/>
  <c r="H41" i="4" s="1"/>
  <c r="H42" i="4" s="1"/>
  <c r="H43" i="4" s="1"/>
  <c r="H44" i="4" s="1"/>
  <c r="H45" i="4" s="1"/>
  <c r="H46" i="4" s="1"/>
  <c r="H47" i="4" s="1"/>
  <c r="D5" i="8"/>
  <c r="D3" i="8" s="1"/>
  <c r="D4" i="8"/>
  <c r="D26" i="8"/>
  <c r="E7" i="8"/>
  <c r="Y38" i="1"/>
  <c r="N38" i="1" s="1"/>
  <c r="I5" i="3"/>
  <c r="I3" i="3"/>
  <c r="H16" i="3"/>
  <c r="H5" i="3"/>
  <c r="I15" i="3"/>
  <c r="H14" i="3"/>
  <c r="H15" i="3"/>
  <c r="I14" i="3"/>
  <c r="I16" i="3"/>
  <c r="J23" i="3"/>
  <c r="H4" i="3"/>
  <c r="I17" i="3"/>
  <c r="H3" i="3"/>
  <c r="F45" i="1"/>
  <c r="J66" i="1"/>
  <c r="S22" i="1"/>
  <c r="S20" i="1"/>
  <c r="H28" i="12" l="1"/>
  <c r="I28" i="12" s="1"/>
  <c r="H37" i="12" s="1"/>
  <c r="J37" i="12" s="1"/>
  <c r="H36" i="12"/>
  <c r="J36" i="12" s="1"/>
  <c r="J35" i="12"/>
  <c r="D43" i="12"/>
  <c r="N19" i="12"/>
  <c r="N50" i="12"/>
  <c r="AB25" i="12"/>
  <c r="S54" i="12"/>
  <c r="N54" i="12" s="1"/>
  <c r="X23" i="12"/>
  <c r="N23" i="12" s="1"/>
  <c r="R24" i="3"/>
  <c r="I24" i="3"/>
  <c r="H24" i="3"/>
  <c r="J13" i="3"/>
  <c r="T13" i="3" s="1"/>
  <c r="J58" i="3"/>
  <c r="I58" i="3" s="1"/>
  <c r="N31" i="1"/>
  <c r="S24" i="3"/>
  <c r="Q23" i="3"/>
  <c r="T23" i="3"/>
  <c r="F15" i="2"/>
  <c r="R23" i="3"/>
  <c r="S23" i="3"/>
  <c r="D64" i="8"/>
  <c r="D45" i="8"/>
  <c r="D6" i="8"/>
  <c r="F7" i="8"/>
  <c r="E8" i="8"/>
  <c r="I23" i="3"/>
  <c r="H23" i="3"/>
  <c r="J22" i="3"/>
  <c r="H12" i="2"/>
  <c r="S40" i="1"/>
  <c r="S37" i="1"/>
  <c r="S36" i="1"/>
  <c r="S35" i="1"/>
  <c r="S30" i="1"/>
  <c r="S32" i="1"/>
  <c r="S33" i="1"/>
  <c r="S29" i="1"/>
  <c r="S28" i="1"/>
  <c r="I32" i="1"/>
  <c r="I44" i="12" l="1"/>
  <c r="AB26" i="12"/>
  <c r="W25" i="12" s="1"/>
  <c r="X25" i="12" s="1"/>
  <c r="AB28" i="12"/>
  <c r="AB30" i="12"/>
  <c r="AB31" i="12" s="1"/>
  <c r="J44" i="12"/>
  <c r="R13" i="3"/>
  <c r="H13" i="3"/>
  <c r="I13" i="3"/>
  <c r="J12" i="3"/>
  <c r="Q12" i="3" s="1"/>
  <c r="S13" i="3"/>
  <c r="R58" i="3"/>
  <c r="H58" i="3"/>
  <c r="S58" i="3"/>
  <c r="T58" i="3"/>
  <c r="W32" i="1"/>
  <c r="X32" i="1" s="1"/>
  <c r="N32" i="1" s="1"/>
  <c r="E29" i="8"/>
  <c r="T22" i="3"/>
  <c r="Q22" i="3"/>
  <c r="G15" i="2"/>
  <c r="R22" i="3"/>
  <c r="S22" i="3"/>
  <c r="D46" i="8"/>
  <c r="D65" i="8"/>
  <c r="E48" i="8"/>
  <c r="E4" i="8"/>
  <c r="E26" i="8"/>
  <c r="E5" i="8"/>
  <c r="E3" i="8" s="1"/>
  <c r="F8" i="8"/>
  <c r="G7" i="8"/>
  <c r="J21" i="3"/>
  <c r="I22" i="3"/>
  <c r="H22" i="3"/>
  <c r="J50" i="1"/>
  <c r="I12" i="2"/>
  <c r="J12" i="2" s="1"/>
  <c r="K12" i="2" s="1"/>
  <c r="J52" i="1"/>
  <c r="I30" i="1"/>
  <c r="I22" i="1"/>
  <c r="I20" i="1"/>
  <c r="I25" i="1"/>
  <c r="I29" i="1"/>
  <c r="W29" i="1" s="1"/>
  <c r="AA24" i="1" s="1"/>
  <c r="G29" i="1"/>
  <c r="V29" i="1" s="1"/>
  <c r="Y12" i="1"/>
  <c r="H10" i="1"/>
  <c r="I10" i="1" s="1"/>
  <c r="C3" i="4"/>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2" i="4"/>
  <c r="J45" i="12" l="1"/>
  <c r="AB29" i="12"/>
  <c r="Y27" i="12" s="1"/>
  <c r="W27" i="12" s="1"/>
  <c r="AC28" i="12"/>
  <c r="AC29" i="12" s="1"/>
  <c r="Y26" i="12" s="1"/>
  <c r="W26" i="12" s="1"/>
  <c r="V56" i="12"/>
  <c r="S56" i="12"/>
  <c r="N25" i="12"/>
  <c r="AB24" i="1"/>
  <c r="R12" i="3"/>
  <c r="H12" i="3"/>
  <c r="I12" i="3"/>
  <c r="J11" i="3"/>
  <c r="T11" i="3" s="1"/>
  <c r="T12" i="3"/>
  <c r="S12" i="3"/>
  <c r="I21" i="8"/>
  <c r="L22" i="8"/>
  <c r="D39" i="8" s="1"/>
  <c r="E39" i="8" s="1"/>
  <c r="L21" i="8"/>
  <c r="E38" i="8" s="1"/>
  <c r="F22" i="8"/>
  <c r="F21" i="8"/>
  <c r="F29" i="8"/>
  <c r="L5" i="2"/>
  <c r="C13" i="2" s="1"/>
  <c r="C11" i="2" s="1"/>
  <c r="F9" i="8"/>
  <c r="F10" i="8" s="1"/>
  <c r="F24" i="8" s="1"/>
  <c r="L12" i="2"/>
  <c r="M12" i="2" s="1"/>
  <c r="N12" i="2" s="1"/>
  <c r="O12" i="2" s="1"/>
  <c r="P12" i="2" s="1"/>
  <c r="Q12" i="2" s="1"/>
  <c r="R12" i="2" s="1"/>
  <c r="S12" i="2" s="1"/>
  <c r="T12" i="2" s="1"/>
  <c r="U12" i="2" s="1"/>
  <c r="V12" i="2" s="1"/>
  <c r="W12" i="2" s="1"/>
  <c r="X12" i="2" s="1"/>
  <c r="Y12" i="2" s="1"/>
  <c r="Z12" i="2" s="1"/>
  <c r="AA12" i="2" s="1"/>
  <c r="AB12" i="2" s="1"/>
  <c r="AC12" i="2" s="1"/>
  <c r="AD12" i="2" s="1"/>
  <c r="AE12" i="2" s="1"/>
  <c r="AF12" i="2" s="1"/>
  <c r="AG12" i="2" s="1"/>
  <c r="AH12" i="2" s="1"/>
  <c r="AI12" i="2" s="1"/>
  <c r="AJ12" i="2" s="1"/>
  <c r="AK12" i="2" s="1"/>
  <c r="AL12" i="2" s="1"/>
  <c r="AM12" i="2" s="1"/>
  <c r="AN12" i="2" s="1"/>
  <c r="AO12" i="2" s="1"/>
  <c r="AP12" i="2" s="1"/>
  <c r="AQ12" i="2" s="1"/>
  <c r="AR12" i="2" s="1"/>
  <c r="AS12" i="2" s="1"/>
  <c r="AT12" i="2" s="1"/>
  <c r="AU12" i="2" s="1"/>
  <c r="AV12" i="2" s="1"/>
  <c r="T21" i="3"/>
  <c r="Q21" i="3"/>
  <c r="V14" i="1"/>
  <c r="H15" i="2"/>
  <c r="R11" i="3"/>
  <c r="S11" i="3"/>
  <c r="R21" i="3"/>
  <c r="S21" i="3"/>
  <c r="E25" i="8"/>
  <c r="E64" i="8"/>
  <c r="E45" i="8"/>
  <c r="F48" i="8"/>
  <c r="F4" i="8"/>
  <c r="E6" i="8"/>
  <c r="E27" i="8" s="1"/>
  <c r="F26" i="8"/>
  <c r="F5" i="8"/>
  <c r="F3" i="8" s="1"/>
  <c r="G8" i="8"/>
  <c r="H7" i="8"/>
  <c r="J20" i="3"/>
  <c r="H21" i="3"/>
  <c r="I21" i="3"/>
  <c r="J10" i="3"/>
  <c r="X29" i="1"/>
  <c r="W30" i="1"/>
  <c r="X30" i="1" s="1"/>
  <c r="W10" i="1"/>
  <c r="I19" i="1"/>
  <c r="I21" i="1"/>
  <c r="J10" i="1"/>
  <c r="N56" i="12" l="1"/>
  <c r="X26" i="12"/>
  <c r="S57" i="12"/>
  <c r="N57" i="12" s="1"/>
  <c r="S58" i="12"/>
  <c r="N58" i="12" s="1"/>
  <c r="X27" i="12"/>
  <c r="N27" i="12" s="1"/>
  <c r="I11" i="3"/>
  <c r="Q11" i="3"/>
  <c r="H11" i="3"/>
  <c r="H23" i="1"/>
  <c r="J54" i="1" s="1"/>
  <c r="J60" i="1" s="1"/>
  <c r="J69" i="1" s="1"/>
  <c r="J23" i="1"/>
  <c r="E57" i="8"/>
  <c r="D57" i="8"/>
  <c r="D38" i="8"/>
  <c r="F38" i="8"/>
  <c r="C16" i="2"/>
  <c r="D16" i="2" s="1"/>
  <c r="G29" i="8"/>
  <c r="F57" i="8"/>
  <c r="F25" i="8"/>
  <c r="F39" i="8"/>
  <c r="D9" i="8"/>
  <c r="D10" i="8" s="1"/>
  <c r="D24" i="8" s="1"/>
  <c r="E9" i="8"/>
  <c r="E10" i="8" s="1"/>
  <c r="E24" i="8" s="1"/>
  <c r="T20" i="3"/>
  <c r="Q20" i="3"/>
  <c r="T10" i="3"/>
  <c r="Q10" i="3"/>
  <c r="N30" i="1"/>
  <c r="C32" i="2"/>
  <c r="L32" i="2" s="1"/>
  <c r="I15" i="2"/>
  <c r="R10" i="3"/>
  <c r="S10" i="3"/>
  <c r="R20" i="3"/>
  <c r="S20" i="3"/>
  <c r="C14" i="2"/>
  <c r="G9" i="8"/>
  <c r="G10" i="8" s="1"/>
  <c r="G24" i="8" s="1"/>
  <c r="G48" i="8"/>
  <c r="F45" i="8"/>
  <c r="F64" i="8"/>
  <c r="N29" i="1"/>
  <c r="G4" i="8"/>
  <c r="F6" i="8"/>
  <c r="F27" i="8" s="1"/>
  <c r="G26" i="8"/>
  <c r="G5" i="8"/>
  <c r="G3" i="8" s="1"/>
  <c r="H8" i="8"/>
  <c r="I7" i="8"/>
  <c r="J9" i="3"/>
  <c r="H10" i="3"/>
  <c r="I10" i="3"/>
  <c r="J19" i="3"/>
  <c r="H20" i="3"/>
  <c r="I20" i="3"/>
  <c r="S63" i="1"/>
  <c r="X10" i="1"/>
  <c r="S59" i="1"/>
  <c r="N59" i="1" s="1"/>
  <c r="D13" i="2"/>
  <c r="D11" i="2" s="1"/>
  <c r="N26" i="12" l="1"/>
  <c r="Y30" i="12"/>
  <c r="Y29" i="12"/>
  <c r="Y28" i="12" s="1"/>
  <c r="S60" i="12"/>
  <c r="S69" i="12" s="1"/>
  <c r="N69" i="12" s="1"/>
  <c r="N68" i="12" s="1"/>
  <c r="N60" i="12"/>
  <c r="N49" i="12" s="1"/>
  <c r="Y21" i="1"/>
  <c r="AA21" i="1" s="1"/>
  <c r="Y20" i="1"/>
  <c r="Y19" i="1"/>
  <c r="AA19" i="1" s="1"/>
  <c r="D52" i="8"/>
  <c r="D50" i="8"/>
  <c r="D33" i="8"/>
  <c r="D51" i="8"/>
  <c r="D31" i="8"/>
  <c r="D49" i="8"/>
  <c r="G38" i="8"/>
  <c r="C26" i="2"/>
  <c r="C24" i="2"/>
  <c r="H29" i="8"/>
  <c r="G57" i="8"/>
  <c r="G39" i="8"/>
  <c r="E16" i="2"/>
  <c r="F16" i="2" s="1"/>
  <c r="G16" i="2" s="1"/>
  <c r="H16" i="2" s="1"/>
  <c r="D26" i="2"/>
  <c r="D24" i="2"/>
  <c r="D32" i="8"/>
  <c r="D30" i="8"/>
  <c r="E47" i="8"/>
  <c r="G32" i="2"/>
  <c r="P32" i="2"/>
  <c r="Q9" i="3"/>
  <c r="T9" i="3"/>
  <c r="T32" i="2"/>
  <c r="J32" i="2"/>
  <c r="S32" i="2"/>
  <c r="K32" i="2"/>
  <c r="N32" i="2"/>
  <c r="U32" i="2"/>
  <c r="T19" i="3"/>
  <c r="Q19" i="3"/>
  <c r="M32" i="2"/>
  <c r="O32" i="2"/>
  <c r="D32" i="2"/>
  <c r="R32" i="2"/>
  <c r="V32" i="2"/>
  <c r="Q32" i="2"/>
  <c r="H32" i="2"/>
  <c r="I32" i="2"/>
  <c r="E32" i="2"/>
  <c r="F32" i="2"/>
  <c r="D58" i="8"/>
  <c r="G58" i="8" s="1"/>
  <c r="AS32" i="2"/>
  <c r="AU32" i="2"/>
  <c r="Y32" i="2"/>
  <c r="AL32" i="2"/>
  <c r="AT32" i="2"/>
  <c r="W32" i="2"/>
  <c r="AH32" i="2"/>
  <c r="X32" i="2"/>
  <c r="AB32" i="2"/>
  <c r="AF32" i="2"/>
  <c r="AR32" i="2"/>
  <c r="AJ32" i="2"/>
  <c r="AM32" i="2"/>
  <c r="AD32" i="2"/>
  <c r="AO32" i="2"/>
  <c r="AQ32" i="2"/>
  <c r="AG32" i="2"/>
  <c r="AE32" i="2"/>
  <c r="AP32" i="2"/>
  <c r="AV32" i="2"/>
  <c r="AA32" i="2"/>
  <c r="AC32" i="2"/>
  <c r="AN32" i="2"/>
  <c r="AI32" i="2"/>
  <c r="AK32" i="2"/>
  <c r="Z32" i="2"/>
  <c r="E28" i="8"/>
  <c r="J15" i="2"/>
  <c r="R9" i="3"/>
  <c r="S9" i="3"/>
  <c r="R19" i="3"/>
  <c r="S19" i="3"/>
  <c r="E65" i="8"/>
  <c r="E46" i="8"/>
  <c r="G25" i="8"/>
  <c r="H9" i="8"/>
  <c r="H10" i="8" s="1"/>
  <c r="H24" i="8" s="1"/>
  <c r="H48" i="8"/>
  <c r="G64" i="8"/>
  <c r="G45" i="8"/>
  <c r="H4" i="8"/>
  <c r="G6" i="8"/>
  <c r="G27" i="8" s="1"/>
  <c r="H26" i="8"/>
  <c r="H5" i="8"/>
  <c r="H3" i="8" s="1"/>
  <c r="H50" i="8" s="1"/>
  <c r="I8" i="8"/>
  <c r="J7" i="8"/>
  <c r="J18" i="3"/>
  <c r="I19" i="3"/>
  <c r="H19" i="3"/>
  <c r="J8" i="3"/>
  <c r="H9" i="3"/>
  <c r="I9" i="3"/>
  <c r="N63" i="1"/>
  <c r="S66" i="1"/>
  <c r="E13" i="2"/>
  <c r="E11" i="2" s="1"/>
  <c r="C10" i="2" s="1"/>
  <c r="Y10" i="1"/>
  <c r="I23" i="1"/>
  <c r="W35" i="12" l="1"/>
  <c r="W28" i="12"/>
  <c r="H35" i="1"/>
  <c r="D43" i="1" s="1"/>
  <c r="H28" i="1"/>
  <c r="I28" i="1" s="1"/>
  <c r="H37" i="1" s="1"/>
  <c r="AC23" i="1"/>
  <c r="W21" i="1"/>
  <c r="X21" i="1" s="1"/>
  <c r="N21" i="1" s="1"/>
  <c r="W19" i="1"/>
  <c r="N10" i="1" s="1"/>
  <c r="W22" i="1"/>
  <c r="X22" i="1" s="1"/>
  <c r="E7" i="2" s="1"/>
  <c r="C27" i="2" s="1"/>
  <c r="D27" i="2" s="1"/>
  <c r="E27" i="2" s="1"/>
  <c r="F27" i="2" s="1"/>
  <c r="G27" i="2" s="1"/>
  <c r="H27" i="2" s="1"/>
  <c r="I27" i="2" s="1"/>
  <c r="J27" i="2" s="1"/>
  <c r="K27" i="2" s="1"/>
  <c r="L27" i="2" s="1"/>
  <c r="M27" i="2" s="1"/>
  <c r="N27" i="2" s="1"/>
  <c r="O27" i="2" s="1"/>
  <c r="P27" i="2" s="1"/>
  <c r="Q27" i="2" s="1"/>
  <c r="R27" i="2" s="1"/>
  <c r="S27" i="2" s="1"/>
  <c r="T27" i="2" s="1"/>
  <c r="U27" i="2" s="1"/>
  <c r="V27" i="2" s="1"/>
  <c r="W27" i="2" s="1"/>
  <c r="X27" i="2" s="1"/>
  <c r="Y27" i="2" s="1"/>
  <c r="Z27" i="2" s="1"/>
  <c r="AA27" i="2" s="1"/>
  <c r="AB27" i="2" s="1"/>
  <c r="AC27" i="2" s="1"/>
  <c r="AD27" i="2" s="1"/>
  <c r="AE27" i="2" s="1"/>
  <c r="AF27" i="2" s="1"/>
  <c r="AG27" i="2" s="1"/>
  <c r="AH27" i="2" s="1"/>
  <c r="AI27" i="2" s="1"/>
  <c r="AJ27" i="2" s="1"/>
  <c r="AK27" i="2" s="1"/>
  <c r="AL27" i="2" s="1"/>
  <c r="AM27" i="2" s="1"/>
  <c r="AN27" i="2" s="1"/>
  <c r="AO27" i="2" s="1"/>
  <c r="AP27" i="2" s="1"/>
  <c r="AQ27" i="2" s="1"/>
  <c r="AR27" i="2" s="1"/>
  <c r="AS27" i="2" s="1"/>
  <c r="AT27" i="2" s="1"/>
  <c r="AU27" i="2" s="1"/>
  <c r="AV27" i="2" s="1"/>
  <c r="AA22" i="1"/>
  <c r="AA20" i="1"/>
  <c r="W20" i="1"/>
  <c r="Y23" i="1"/>
  <c r="AA23" i="1" s="1"/>
  <c r="E52" i="8"/>
  <c r="E50" i="8"/>
  <c r="D53" i="8"/>
  <c r="H33" i="8"/>
  <c r="H52" i="8"/>
  <c r="D34" i="8"/>
  <c r="E31" i="8"/>
  <c r="E33" i="8"/>
  <c r="H31" i="8"/>
  <c r="H38" i="8"/>
  <c r="H57" i="8"/>
  <c r="E49" i="8"/>
  <c r="F47" i="8"/>
  <c r="E51" i="8"/>
  <c r="H39" i="8"/>
  <c r="I29" i="8"/>
  <c r="E26" i="2"/>
  <c r="E24" i="2"/>
  <c r="D15" i="8"/>
  <c r="E30" i="8"/>
  <c r="E32" i="8"/>
  <c r="Q17" i="3"/>
  <c r="Q18" i="3"/>
  <c r="T18" i="3"/>
  <c r="Q8" i="3"/>
  <c r="T8" i="3"/>
  <c r="E58" i="8"/>
  <c r="F58" i="8"/>
  <c r="C31" i="2"/>
  <c r="D31" i="2" s="1"/>
  <c r="E31" i="2" s="1"/>
  <c r="F31" i="2" s="1"/>
  <c r="G31" i="2" s="1"/>
  <c r="H31" i="2" s="1"/>
  <c r="I31" i="2" s="1"/>
  <c r="J31" i="2" s="1"/>
  <c r="K31" i="2" s="1"/>
  <c r="L31" i="2" s="1"/>
  <c r="M31" i="2" s="1"/>
  <c r="N31" i="2" s="1"/>
  <c r="O31" i="2" s="1"/>
  <c r="P31" i="2" s="1"/>
  <c r="Q31" i="2" s="1"/>
  <c r="R31" i="2" s="1"/>
  <c r="S31" i="2" s="1"/>
  <c r="T31" i="2" s="1"/>
  <c r="U31" i="2" s="1"/>
  <c r="V31" i="2" s="1"/>
  <c r="W31" i="2" s="1"/>
  <c r="X31" i="2" s="1"/>
  <c r="Y31" i="2" s="1"/>
  <c r="Z31" i="2" s="1"/>
  <c r="AA31" i="2" s="1"/>
  <c r="AB31" i="2" s="1"/>
  <c r="AC31" i="2" s="1"/>
  <c r="AD31" i="2" s="1"/>
  <c r="AE31" i="2" s="1"/>
  <c r="AF31" i="2" s="1"/>
  <c r="AG31" i="2" s="1"/>
  <c r="AH31" i="2" s="1"/>
  <c r="AI31" i="2" s="1"/>
  <c r="AJ31" i="2" s="1"/>
  <c r="AK31" i="2" s="1"/>
  <c r="AL31" i="2" s="1"/>
  <c r="AM31" i="2" s="1"/>
  <c r="AN31" i="2" s="1"/>
  <c r="AO31" i="2" s="1"/>
  <c r="AP31" i="2" s="1"/>
  <c r="AQ31" i="2" s="1"/>
  <c r="AR31" i="2" s="1"/>
  <c r="AS31" i="2" s="1"/>
  <c r="AT31" i="2" s="1"/>
  <c r="AU31" i="2" s="1"/>
  <c r="AV31" i="2" s="1"/>
  <c r="F28" i="8"/>
  <c r="K15" i="2"/>
  <c r="R8" i="3"/>
  <c r="S8" i="3"/>
  <c r="R18" i="3"/>
  <c r="S18" i="3"/>
  <c r="F46" i="8"/>
  <c r="F65" i="8"/>
  <c r="D12" i="8"/>
  <c r="H58" i="8"/>
  <c r="H25" i="8"/>
  <c r="I9" i="8"/>
  <c r="I10" i="8" s="1"/>
  <c r="I24" i="8" s="1"/>
  <c r="I48" i="8"/>
  <c r="H64" i="8"/>
  <c r="H45" i="8"/>
  <c r="I4" i="8"/>
  <c r="H6" i="8"/>
  <c r="H27" i="8" s="1"/>
  <c r="I26" i="8"/>
  <c r="I5" i="8"/>
  <c r="I3" i="8" s="1"/>
  <c r="I33" i="8" s="1"/>
  <c r="K7" i="8"/>
  <c r="J8" i="8"/>
  <c r="J7" i="3"/>
  <c r="H8" i="3"/>
  <c r="I8" i="3"/>
  <c r="I18" i="3"/>
  <c r="H18" i="3"/>
  <c r="D14" i="2"/>
  <c r="D19" i="2" s="1"/>
  <c r="D10" i="2"/>
  <c r="F13" i="2"/>
  <c r="F11" i="2" s="1"/>
  <c r="N28" i="12" l="1"/>
  <c r="X28" i="12"/>
  <c r="Y35" i="12"/>
  <c r="S43" i="12"/>
  <c r="W36" i="12"/>
  <c r="Y36" i="12" s="1"/>
  <c r="N36" i="12" s="1"/>
  <c r="AC25" i="1"/>
  <c r="AB19" i="1"/>
  <c r="AB23" i="1"/>
  <c r="S52" i="1"/>
  <c r="N52" i="1" s="1"/>
  <c r="S53" i="1"/>
  <c r="N53" i="1" s="1"/>
  <c r="N22" i="1"/>
  <c r="X20" i="1"/>
  <c r="S51" i="1"/>
  <c r="N51" i="1" s="1"/>
  <c r="X19" i="1"/>
  <c r="S50" i="1"/>
  <c r="N50" i="1" s="1"/>
  <c r="W23" i="1"/>
  <c r="S54" i="1" s="1"/>
  <c r="N54" i="1" s="1"/>
  <c r="F51" i="8"/>
  <c r="F50" i="8"/>
  <c r="F52" i="8"/>
  <c r="I52" i="8"/>
  <c r="I50" i="8"/>
  <c r="F33" i="8"/>
  <c r="F31" i="8"/>
  <c r="E34" i="8"/>
  <c r="D11" i="8" s="1"/>
  <c r="D13" i="8" s="1"/>
  <c r="I31" i="8"/>
  <c r="F49" i="8"/>
  <c r="I38" i="8"/>
  <c r="I57" i="8"/>
  <c r="E15" i="8"/>
  <c r="E53" i="8"/>
  <c r="D14" i="8" s="1"/>
  <c r="D16" i="8" s="1"/>
  <c r="I25" i="8"/>
  <c r="J29" i="8"/>
  <c r="F26" i="2"/>
  <c r="F24" i="2"/>
  <c r="I39" i="8"/>
  <c r="F32" i="8"/>
  <c r="F30" i="8"/>
  <c r="G47" i="8"/>
  <c r="Q7" i="3"/>
  <c r="T7" i="3"/>
  <c r="G28" i="8"/>
  <c r="L15" i="2"/>
  <c r="R7" i="3"/>
  <c r="S7" i="3"/>
  <c r="G46" i="8"/>
  <c r="G65" i="8"/>
  <c r="E12" i="8"/>
  <c r="I58" i="8"/>
  <c r="I45" i="8"/>
  <c r="I64" i="8"/>
  <c r="J9" i="8"/>
  <c r="J10" i="8" s="1"/>
  <c r="J24" i="8" s="1"/>
  <c r="J48" i="8"/>
  <c r="J4" i="8"/>
  <c r="I6" i="8"/>
  <c r="I27" i="8" s="1"/>
  <c r="J26" i="8"/>
  <c r="J5" i="8"/>
  <c r="J3" i="8" s="1"/>
  <c r="J31" i="8" s="1"/>
  <c r="K8" i="8"/>
  <c r="L7" i="8"/>
  <c r="J6" i="3"/>
  <c r="H7" i="3"/>
  <c r="I7" i="3"/>
  <c r="I44" i="1"/>
  <c r="J37" i="1"/>
  <c r="E14" i="2"/>
  <c r="E19" i="2" s="1"/>
  <c r="E10" i="2"/>
  <c r="G13" i="2"/>
  <c r="G11" i="2" s="1"/>
  <c r="H36" i="1"/>
  <c r="J36" i="1" s="1"/>
  <c r="N35" i="12" l="1"/>
  <c r="W37" i="12"/>
  <c r="Y37" i="12" s="1"/>
  <c r="N37" i="12" s="1"/>
  <c r="X44" i="12"/>
  <c r="N7" i="12"/>
  <c r="N12" i="12" s="1"/>
  <c r="H48" i="12" s="1"/>
  <c r="N14" i="12"/>
  <c r="AC30" i="1"/>
  <c r="AC31" i="1" s="1"/>
  <c r="AB25" i="1"/>
  <c r="AB28" i="1" s="1"/>
  <c r="AB29" i="1" s="1"/>
  <c r="G31" i="8"/>
  <c r="G33" i="8"/>
  <c r="G50" i="8"/>
  <c r="G52" i="8"/>
  <c r="X23" i="1"/>
  <c r="S16" i="1"/>
  <c r="N19" i="1"/>
  <c r="N20" i="1"/>
  <c r="E6" i="2"/>
  <c r="C25" i="2" s="1"/>
  <c r="F53" i="8"/>
  <c r="E14" i="8" s="1"/>
  <c r="E16" i="8" s="1"/>
  <c r="J50" i="8"/>
  <c r="J52" i="8"/>
  <c r="F34" i="8"/>
  <c r="E11" i="8" s="1"/>
  <c r="E13" i="8" s="1"/>
  <c r="J33" i="8"/>
  <c r="J38" i="8"/>
  <c r="J57" i="8"/>
  <c r="G49" i="8"/>
  <c r="G51" i="8"/>
  <c r="J39" i="8"/>
  <c r="K29" i="8"/>
  <c r="I16" i="2"/>
  <c r="J16" i="2" s="1"/>
  <c r="K16" i="2" s="1"/>
  <c r="L16" i="2" s="1"/>
  <c r="M16" i="2" s="1"/>
  <c r="G26" i="2"/>
  <c r="G24" i="2"/>
  <c r="F15" i="8"/>
  <c r="H47" i="8"/>
  <c r="G32" i="8"/>
  <c r="G30" i="8"/>
  <c r="T6" i="3"/>
  <c r="Q6" i="3"/>
  <c r="Q5" i="3"/>
  <c r="H28" i="8"/>
  <c r="I28" i="8" s="1"/>
  <c r="J28" i="8" s="1"/>
  <c r="M15" i="2"/>
  <c r="R6" i="3"/>
  <c r="S6" i="3"/>
  <c r="H65" i="8"/>
  <c r="H46" i="8"/>
  <c r="F12" i="8"/>
  <c r="J58" i="8"/>
  <c r="J64" i="8"/>
  <c r="J45" i="8"/>
  <c r="K9" i="8"/>
  <c r="K10" i="8" s="1"/>
  <c r="K24" i="8" s="1"/>
  <c r="K48" i="8"/>
  <c r="J25" i="8"/>
  <c r="K4" i="8"/>
  <c r="J6" i="8"/>
  <c r="J27" i="8" s="1"/>
  <c r="K26" i="8"/>
  <c r="K5" i="8"/>
  <c r="K3" i="8" s="1"/>
  <c r="K31" i="8" s="1"/>
  <c r="M7" i="8"/>
  <c r="L8" i="8"/>
  <c r="C20" i="2"/>
  <c r="H6" i="3"/>
  <c r="I6" i="3"/>
  <c r="F14" i="2"/>
  <c r="F10" i="2"/>
  <c r="H13" i="2"/>
  <c r="H11" i="2" s="1"/>
  <c r="J35" i="1"/>
  <c r="Y44" i="12" l="1"/>
  <c r="Y45" i="12" s="1"/>
  <c r="N45" i="12" s="1"/>
  <c r="AC28" i="1"/>
  <c r="AC29" i="1" s="1"/>
  <c r="Y26" i="1" s="1"/>
  <c r="AB30" i="1"/>
  <c r="AB31" i="1" s="1"/>
  <c r="Y27" i="1" s="1"/>
  <c r="AB26" i="1"/>
  <c r="W25" i="1" s="1"/>
  <c r="X25" i="1" s="1"/>
  <c r="G34" i="8"/>
  <c r="F11" i="8" s="1"/>
  <c r="F13" i="8" s="1"/>
  <c r="G53" i="8"/>
  <c r="F14" i="8" s="1"/>
  <c r="F16" i="8" s="1"/>
  <c r="N23" i="1"/>
  <c r="D25" i="2"/>
  <c r="C28" i="2"/>
  <c r="C23" i="2" s="1"/>
  <c r="K50" i="8"/>
  <c r="K52" i="8"/>
  <c r="K33" i="8"/>
  <c r="K38" i="8"/>
  <c r="K57" i="8"/>
  <c r="H49" i="8"/>
  <c r="H53" i="8" s="1"/>
  <c r="H51" i="8"/>
  <c r="K39" i="8"/>
  <c r="L29" i="8"/>
  <c r="H26" i="2"/>
  <c r="H24" i="2"/>
  <c r="G15" i="8"/>
  <c r="I47" i="8"/>
  <c r="H32" i="8"/>
  <c r="H30" i="8"/>
  <c r="H34" i="8" s="1"/>
  <c r="N15" i="2"/>
  <c r="I46" i="8"/>
  <c r="I65" i="8"/>
  <c r="G12" i="8"/>
  <c r="K58" i="8"/>
  <c r="L9" i="8"/>
  <c r="L10" i="8" s="1"/>
  <c r="L24" i="8" s="1"/>
  <c r="L48" i="8"/>
  <c r="K64" i="8"/>
  <c r="K45" i="8"/>
  <c r="K25" i="8"/>
  <c r="L4" i="8"/>
  <c r="K6" i="8"/>
  <c r="K27" i="8" s="1"/>
  <c r="L26" i="8"/>
  <c r="L5" i="8"/>
  <c r="L3" i="8" s="1"/>
  <c r="L31" i="8" s="1"/>
  <c r="M8" i="8"/>
  <c r="N7" i="8"/>
  <c r="J44" i="1"/>
  <c r="J45" i="1" s="1"/>
  <c r="G14" i="2"/>
  <c r="G19" i="2" s="1"/>
  <c r="G10" i="2"/>
  <c r="I13" i="2"/>
  <c r="I11" i="2" s="1"/>
  <c r="E25" i="2" l="1"/>
  <c r="D17" i="2"/>
  <c r="D21" i="2" s="1"/>
  <c r="D28" i="2"/>
  <c r="D18" i="2" s="1"/>
  <c r="D20" i="2" s="1"/>
  <c r="L50" i="8"/>
  <c r="L52" i="8"/>
  <c r="L33" i="8"/>
  <c r="L38" i="8"/>
  <c r="L57" i="8"/>
  <c r="I49" i="8"/>
  <c r="I53" i="8" s="1"/>
  <c r="I51" i="8"/>
  <c r="L39" i="8"/>
  <c r="M29" i="8"/>
  <c r="I24" i="2"/>
  <c r="I26" i="2"/>
  <c r="G14" i="8"/>
  <c r="G16" i="8" s="1"/>
  <c r="H15" i="8"/>
  <c r="I32" i="8"/>
  <c r="I30" i="8"/>
  <c r="I34" i="8" s="1"/>
  <c r="J47" i="8"/>
  <c r="O15" i="2"/>
  <c r="J65" i="8"/>
  <c r="J46" i="8"/>
  <c r="H12" i="8"/>
  <c r="G11" i="8"/>
  <c r="G13" i="8" s="1"/>
  <c r="L58" i="8"/>
  <c r="M9" i="8"/>
  <c r="M10" i="8" s="1"/>
  <c r="M24" i="8" s="1"/>
  <c r="M48" i="8"/>
  <c r="L45" i="8"/>
  <c r="L64" i="8"/>
  <c r="L25" i="8"/>
  <c r="M4" i="8"/>
  <c r="L6" i="8"/>
  <c r="L27" i="8" s="1"/>
  <c r="M26" i="8"/>
  <c r="M5" i="8"/>
  <c r="M3" i="8" s="1"/>
  <c r="M33" i="8" s="1"/>
  <c r="O7" i="8"/>
  <c r="N8" i="8"/>
  <c r="H14" i="2"/>
  <c r="H19" i="2" s="1"/>
  <c r="H10" i="2"/>
  <c r="J13" i="2"/>
  <c r="J11" i="2" s="1"/>
  <c r="D23" i="2" l="1"/>
  <c r="F25" i="2"/>
  <c r="E17" i="2"/>
  <c r="E21" i="2" s="1"/>
  <c r="E28" i="2"/>
  <c r="E18" i="2" s="1"/>
  <c r="E20" i="2" s="1"/>
  <c r="M50" i="8"/>
  <c r="M52" i="8"/>
  <c r="M31" i="8"/>
  <c r="M38" i="8"/>
  <c r="M57" i="8"/>
  <c r="J51" i="8"/>
  <c r="K47" i="8"/>
  <c r="J49" i="8"/>
  <c r="J53" i="8" s="1"/>
  <c r="M39" i="8"/>
  <c r="N29" i="8"/>
  <c r="H14" i="8"/>
  <c r="H16" i="8" s="1"/>
  <c r="I15" i="8"/>
  <c r="J30" i="8"/>
  <c r="J34" i="8" s="1"/>
  <c r="J32" i="8"/>
  <c r="K28" i="8"/>
  <c r="L28" i="8" s="1"/>
  <c r="P15" i="2"/>
  <c r="K65" i="8"/>
  <c r="K46" i="8"/>
  <c r="I12" i="8"/>
  <c r="H11" i="8"/>
  <c r="H13" i="8" s="1"/>
  <c r="M58" i="8"/>
  <c r="M64" i="8"/>
  <c r="M45" i="8"/>
  <c r="N9" i="8"/>
  <c r="N10" i="8" s="1"/>
  <c r="N24" i="8" s="1"/>
  <c r="N48" i="8"/>
  <c r="M25" i="8"/>
  <c r="N4" i="8"/>
  <c r="M6" i="8"/>
  <c r="M27" i="8" s="1"/>
  <c r="N26" i="8"/>
  <c r="N5" i="8"/>
  <c r="N3" i="8" s="1"/>
  <c r="N31" i="8" s="1"/>
  <c r="P7" i="8"/>
  <c r="O8" i="8"/>
  <c r="I14" i="2"/>
  <c r="I10" i="2"/>
  <c r="K13" i="2"/>
  <c r="K11" i="2" s="1"/>
  <c r="E23" i="2" l="1"/>
  <c r="G25" i="2"/>
  <c r="F17" i="2"/>
  <c r="F21" i="2" s="1"/>
  <c r="F19" i="2"/>
  <c r="F28" i="2"/>
  <c r="F18" i="2" s="1"/>
  <c r="N50" i="8"/>
  <c r="N52" i="8"/>
  <c r="N33" i="8"/>
  <c r="N38" i="8"/>
  <c r="N57" i="8"/>
  <c r="K49" i="8"/>
  <c r="K53" i="8" s="1"/>
  <c r="K51" i="8"/>
  <c r="N39" i="8"/>
  <c r="O29" i="8"/>
  <c r="J24" i="2"/>
  <c r="J26" i="2"/>
  <c r="K30" i="8"/>
  <c r="K34" i="8" s="1"/>
  <c r="K32" i="8"/>
  <c r="J15" i="8"/>
  <c r="I14" i="8"/>
  <c r="I16" i="8" s="1"/>
  <c r="L47" i="8"/>
  <c r="Q15" i="2"/>
  <c r="L65" i="8"/>
  <c r="L46" i="8"/>
  <c r="J12" i="8"/>
  <c r="I11" i="8"/>
  <c r="I13" i="8" s="1"/>
  <c r="N58" i="8"/>
  <c r="N45" i="8"/>
  <c r="N64" i="8"/>
  <c r="O9" i="8"/>
  <c r="O10" i="8" s="1"/>
  <c r="O24" i="8" s="1"/>
  <c r="O48" i="8"/>
  <c r="N25" i="8"/>
  <c r="O4" i="8"/>
  <c r="N6" i="8"/>
  <c r="N27" i="8" s="1"/>
  <c r="O26" i="8"/>
  <c r="O5" i="8"/>
  <c r="P8" i="8"/>
  <c r="J14" i="2"/>
  <c r="J10" i="2"/>
  <c r="L13" i="2"/>
  <c r="L11" i="2" s="1"/>
  <c r="J19" i="2" l="1"/>
  <c r="F20" i="2"/>
  <c r="F23" i="2"/>
  <c r="H25" i="2"/>
  <c r="G17" i="2"/>
  <c r="G21" i="2" s="1"/>
  <c r="G28" i="2"/>
  <c r="G18" i="2" s="1"/>
  <c r="G20" i="2" s="1"/>
  <c r="L49" i="8"/>
  <c r="L53" i="8" s="1"/>
  <c r="L51" i="8"/>
  <c r="P29" i="8"/>
  <c r="K24" i="2"/>
  <c r="K26" i="2"/>
  <c r="K15" i="8"/>
  <c r="J14" i="8"/>
  <c r="J16" i="8" s="1"/>
  <c r="M47" i="8"/>
  <c r="L30" i="8"/>
  <c r="L34" i="8" s="1"/>
  <c r="L32" i="8"/>
  <c r="M28" i="8"/>
  <c r="R15" i="2"/>
  <c r="M46" i="8"/>
  <c r="M65" i="8"/>
  <c r="K12" i="8"/>
  <c r="J11" i="8"/>
  <c r="J13" i="8" s="1"/>
  <c r="P9" i="8"/>
  <c r="P10" i="8" s="1"/>
  <c r="P24" i="8" s="1"/>
  <c r="P48" i="8"/>
  <c r="O64" i="8"/>
  <c r="O45" i="8"/>
  <c r="O3" i="8"/>
  <c r="P4" i="8"/>
  <c r="O6" i="8"/>
  <c r="O27" i="8" s="1"/>
  <c r="P26" i="8"/>
  <c r="P5" i="8"/>
  <c r="P3" i="8" s="1"/>
  <c r="P33" i="8" s="1"/>
  <c r="K14" i="2"/>
  <c r="K10" i="2"/>
  <c r="M13" i="2"/>
  <c r="M11" i="2" s="1"/>
  <c r="N66" i="1"/>
  <c r="G23" i="2" l="1"/>
  <c r="I25" i="2"/>
  <c r="H17" i="2"/>
  <c r="H21" i="2" s="1"/>
  <c r="H28" i="2"/>
  <c r="H18" i="2" s="1"/>
  <c r="H20" i="2" s="1"/>
  <c r="O52" i="8"/>
  <c r="O50" i="8"/>
  <c r="P50" i="8"/>
  <c r="P52" i="8"/>
  <c r="P31" i="8"/>
  <c r="O31" i="8"/>
  <c r="O33" i="8"/>
  <c r="P38" i="8"/>
  <c r="O57" i="8"/>
  <c r="P57" i="8"/>
  <c r="M49" i="8"/>
  <c r="M53" i="8" s="1"/>
  <c r="M51" i="8"/>
  <c r="O38" i="8"/>
  <c r="K19" i="2"/>
  <c r="P39" i="8"/>
  <c r="L24" i="2"/>
  <c r="L26" i="2"/>
  <c r="O39" i="8"/>
  <c r="L15" i="8"/>
  <c r="K14" i="8"/>
  <c r="K16" i="8" s="1"/>
  <c r="M30" i="8"/>
  <c r="M34" i="8" s="1"/>
  <c r="M32" i="8"/>
  <c r="N47" i="8"/>
  <c r="N28" i="8"/>
  <c r="S15" i="2"/>
  <c r="N65" i="8"/>
  <c r="N46" i="8"/>
  <c r="L12" i="8"/>
  <c r="K11" i="8"/>
  <c r="K13" i="8" s="1"/>
  <c r="P58" i="8"/>
  <c r="O58" i="8"/>
  <c r="P64" i="8"/>
  <c r="P45" i="8"/>
  <c r="O25" i="8"/>
  <c r="P6" i="8"/>
  <c r="P27" i="8" s="1"/>
  <c r="L14" i="2"/>
  <c r="L10" i="2"/>
  <c r="N13" i="2"/>
  <c r="N11" i="2" s="1"/>
  <c r="H23" i="2" l="1"/>
  <c r="J25" i="2"/>
  <c r="I17" i="2"/>
  <c r="I21" i="2" s="1"/>
  <c r="I28" i="2"/>
  <c r="I18" i="2" s="1"/>
  <c r="I19" i="2"/>
  <c r="N49" i="8"/>
  <c r="N53" i="8" s="1"/>
  <c r="N51" i="8"/>
  <c r="M24" i="2"/>
  <c r="M26" i="2"/>
  <c r="M15" i="8"/>
  <c r="L14" i="8"/>
  <c r="L16" i="8" s="1"/>
  <c r="O47" i="8"/>
  <c r="O51" i="8" s="1"/>
  <c r="N30" i="8"/>
  <c r="N34" i="8" s="1"/>
  <c r="N32" i="8"/>
  <c r="O28" i="8"/>
  <c r="P28" i="8" s="1"/>
  <c r="T15" i="2"/>
  <c r="O65" i="8"/>
  <c r="O46" i="8"/>
  <c r="M12" i="8"/>
  <c r="L11" i="8"/>
  <c r="L13" i="8" s="1"/>
  <c r="P25" i="8"/>
  <c r="N16" i="2"/>
  <c r="M14" i="2"/>
  <c r="M10" i="2"/>
  <c r="O13" i="2"/>
  <c r="O11" i="2" s="1"/>
  <c r="M19" i="2" l="1"/>
  <c r="I23" i="2"/>
  <c r="I20" i="2"/>
  <c r="K25" i="2"/>
  <c r="J28" i="2"/>
  <c r="J18" i="2" s="1"/>
  <c r="J20" i="2" s="1"/>
  <c r="J17" i="2"/>
  <c r="J21" i="2" s="1"/>
  <c r="P30" i="8"/>
  <c r="P34" i="8" s="1"/>
  <c r="P47" i="8"/>
  <c r="O49" i="8"/>
  <c r="O53" i="8" s="1"/>
  <c r="N24" i="2"/>
  <c r="N26" i="2"/>
  <c r="N15" i="8"/>
  <c r="M14" i="8"/>
  <c r="M16" i="8" s="1"/>
  <c r="O32" i="8"/>
  <c r="O30" i="8"/>
  <c r="O34" i="8" s="1"/>
  <c r="P32" i="8"/>
  <c r="U15" i="2"/>
  <c r="P65" i="8"/>
  <c r="P46" i="8"/>
  <c r="C26" i="8"/>
  <c r="C45" i="8" s="1"/>
  <c r="N12" i="8"/>
  <c r="M11" i="8"/>
  <c r="M13" i="8" s="1"/>
  <c r="O16" i="2"/>
  <c r="N14" i="2"/>
  <c r="N19" i="2" s="1"/>
  <c r="N10" i="2"/>
  <c r="P13" i="2"/>
  <c r="P11" i="2" s="1"/>
  <c r="J23" i="2" l="1"/>
  <c r="L25" i="2"/>
  <c r="K17" i="2"/>
  <c r="K21" i="2" s="1"/>
  <c r="K28" i="2"/>
  <c r="K18" i="2" s="1"/>
  <c r="K20" i="2" s="1"/>
  <c r="P49" i="8"/>
  <c r="P53" i="8" s="1"/>
  <c r="P51" i="8"/>
  <c r="O24" i="2"/>
  <c r="O26" i="2"/>
  <c r="N14" i="8"/>
  <c r="N16" i="8" s="1"/>
  <c r="O15" i="8"/>
  <c r="V15" i="2"/>
  <c r="C64" i="8"/>
  <c r="O12" i="8"/>
  <c r="N11" i="8"/>
  <c r="N13" i="8" s="1"/>
  <c r="P16" i="2"/>
  <c r="O14" i="2"/>
  <c r="O10" i="2"/>
  <c r="Q13" i="2"/>
  <c r="Q11" i="2" s="1"/>
  <c r="O19" i="2" l="1"/>
  <c r="K23" i="2"/>
  <c r="M25" i="2"/>
  <c r="L17" i="2"/>
  <c r="L21" i="2" s="1"/>
  <c r="L19" i="2"/>
  <c r="L28" i="2"/>
  <c r="L18" i="2" s="1"/>
  <c r="O14" i="8"/>
  <c r="O16" i="8" s="1"/>
  <c r="P24" i="2"/>
  <c r="P26" i="2"/>
  <c r="W15" i="2"/>
  <c r="O11" i="8"/>
  <c r="Q16" i="2"/>
  <c r="P14" i="2"/>
  <c r="P10" i="2"/>
  <c r="R13" i="2"/>
  <c r="R11" i="2" s="1"/>
  <c r="P19" i="2" l="1"/>
  <c r="L23" i="2"/>
  <c r="L20" i="2"/>
  <c r="N25" i="2"/>
  <c r="M17" i="2"/>
  <c r="M21" i="2" s="1"/>
  <c r="M28" i="2"/>
  <c r="M18" i="2" s="1"/>
  <c r="M20" i="2" s="1"/>
  <c r="Q24" i="2"/>
  <c r="Q26" i="2"/>
  <c r="X15" i="2"/>
  <c r="O13" i="8"/>
  <c r="R16" i="2"/>
  <c r="S16" i="2" s="1"/>
  <c r="Q14" i="2"/>
  <c r="Q19" i="2" s="1"/>
  <c r="Q10" i="2"/>
  <c r="S13" i="2"/>
  <c r="S11" i="2" s="1"/>
  <c r="M23" i="2" l="1"/>
  <c r="O25" i="2"/>
  <c r="N17" i="2"/>
  <c r="N21" i="2" s="1"/>
  <c r="N28" i="2"/>
  <c r="N18" i="2" s="1"/>
  <c r="N20" i="2" s="1"/>
  <c r="R24" i="2"/>
  <c r="R26" i="2"/>
  <c r="Y15" i="2"/>
  <c r="R14" i="2"/>
  <c r="R10" i="2"/>
  <c r="T13" i="2"/>
  <c r="T11" i="2" s="1"/>
  <c r="R19" i="2" l="1"/>
  <c r="N23" i="2"/>
  <c r="P25" i="2"/>
  <c r="O17" i="2"/>
  <c r="O21" i="2" s="1"/>
  <c r="O28" i="2"/>
  <c r="O18" i="2" s="1"/>
  <c r="O20" i="2" s="1"/>
  <c r="S24" i="2"/>
  <c r="S26" i="2"/>
  <c r="Z15" i="2"/>
  <c r="T16" i="2"/>
  <c r="S14" i="2"/>
  <c r="S10" i="2"/>
  <c r="U13" i="2"/>
  <c r="U11" i="2" s="1"/>
  <c r="S19" i="2" l="1"/>
  <c r="O23" i="2"/>
  <c r="Q25" i="2"/>
  <c r="P17" i="2"/>
  <c r="P21" i="2" s="1"/>
  <c r="P28" i="2"/>
  <c r="P18" i="2" s="1"/>
  <c r="P20" i="2" s="1"/>
  <c r="T24" i="2"/>
  <c r="T26" i="2"/>
  <c r="AA15" i="2"/>
  <c r="U16" i="2"/>
  <c r="T14" i="2"/>
  <c r="T19" i="2" s="1"/>
  <c r="T10" i="2"/>
  <c r="V13" i="2"/>
  <c r="P23" i="2" l="1"/>
  <c r="R25" i="2"/>
  <c r="Q28" i="2"/>
  <c r="Q18" i="2" s="1"/>
  <c r="Q20" i="2" s="1"/>
  <c r="Q17" i="2"/>
  <c r="Q21" i="2" s="1"/>
  <c r="U24" i="2"/>
  <c r="U26" i="2"/>
  <c r="V11" i="2"/>
  <c r="W13" i="2"/>
  <c r="X13" i="2" s="1"/>
  <c r="Y13" i="2" s="1"/>
  <c r="Z13" i="2" s="1"/>
  <c r="AA13" i="2" s="1"/>
  <c r="AB13" i="2" s="1"/>
  <c r="AC13" i="2" s="1"/>
  <c r="AD13" i="2" s="1"/>
  <c r="AE13" i="2" s="1"/>
  <c r="AF13" i="2" s="1"/>
  <c r="AG13" i="2" s="1"/>
  <c r="AH13" i="2" s="1"/>
  <c r="AI13" i="2" s="1"/>
  <c r="AJ13" i="2" s="1"/>
  <c r="AK13" i="2" s="1"/>
  <c r="AL13" i="2" s="1"/>
  <c r="AM13" i="2" s="1"/>
  <c r="AB15" i="2"/>
  <c r="V16" i="2"/>
  <c r="V26" i="2" s="1"/>
  <c r="U14" i="2"/>
  <c r="U10" i="2"/>
  <c r="U19" i="2" l="1"/>
  <c r="Q23" i="2"/>
  <c r="S25" i="2"/>
  <c r="R28" i="2"/>
  <c r="R18" i="2" s="1"/>
  <c r="R20" i="2" s="1"/>
  <c r="R17" i="2"/>
  <c r="R21" i="2" s="1"/>
  <c r="W16" i="2"/>
  <c r="W26" i="2" s="1"/>
  <c r="V24" i="2"/>
  <c r="AN13" i="2"/>
  <c r="AM11" i="2"/>
  <c r="W11" i="2"/>
  <c r="W14" i="2" s="1"/>
  <c r="AC15" i="2"/>
  <c r="V14" i="2"/>
  <c r="V10" i="2"/>
  <c r="X11" i="2"/>
  <c r="X14" i="2" s="1"/>
  <c r="V19" i="2" l="1"/>
  <c r="R23" i="2"/>
  <c r="T25" i="2"/>
  <c r="S17" i="2"/>
  <c r="S21" i="2" s="1"/>
  <c r="S28" i="2"/>
  <c r="S18" i="2" s="1"/>
  <c r="S20" i="2" s="1"/>
  <c r="W19" i="2"/>
  <c r="X16" i="2"/>
  <c r="X26" i="2" s="1"/>
  <c r="W24" i="2"/>
  <c r="AM14" i="2"/>
  <c r="AO13" i="2"/>
  <c r="AN11" i="2"/>
  <c r="AD15" i="2"/>
  <c r="W10" i="2"/>
  <c r="Y11" i="2"/>
  <c r="Y14" i="2" s="1"/>
  <c r="S23" i="2" l="1"/>
  <c r="U25" i="2"/>
  <c r="T17" i="2"/>
  <c r="T21" i="2" s="1"/>
  <c r="T28" i="2"/>
  <c r="T18" i="2" s="1"/>
  <c r="T20" i="2" s="1"/>
  <c r="Y16" i="2"/>
  <c r="Y26" i="2" s="1"/>
  <c r="X24" i="2"/>
  <c r="X19" i="2" s="1"/>
  <c r="AN10" i="2"/>
  <c r="AN14" i="2"/>
  <c r="AN19" i="2" s="1"/>
  <c r="AP13" i="2"/>
  <c r="AO11" i="2"/>
  <c r="AE15" i="2"/>
  <c r="X10" i="2"/>
  <c r="Z11" i="2"/>
  <c r="Z14" i="2" s="1"/>
  <c r="Z19" i="2" s="1"/>
  <c r="T23" i="2" l="1"/>
  <c r="V25" i="2"/>
  <c r="U28" i="2"/>
  <c r="U18" i="2" s="1"/>
  <c r="U20" i="2" s="1"/>
  <c r="U17" i="2"/>
  <c r="U21" i="2" s="1"/>
  <c r="Z16" i="2"/>
  <c r="Z26" i="2" s="1"/>
  <c r="Y24" i="2"/>
  <c r="Y19" i="2" s="1"/>
  <c r="AO10" i="2"/>
  <c r="AO14" i="2"/>
  <c r="AO19" i="2" s="1"/>
  <c r="AP11" i="2"/>
  <c r="AQ13" i="2"/>
  <c r="AF15" i="2"/>
  <c r="Y10" i="2"/>
  <c r="AA11" i="2"/>
  <c r="AA14" i="2" s="1"/>
  <c r="U23" i="2" l="1"/>
  <c r="W25" i="2"/>
  <c r="V28" i="2"/>
  <c r="V18" i="2" s="1"/>
  <c r="V20" i="2" s="1"/>
  <c r="V17" i="2"/>
  <c r="V21" i="2" s="1"/>
  <c r="AA16" i="2"/>
  <c r="AA26" i="2" s="1"/>
  <c r="Z24" i="2"/>
  <c r="AQ11" i="2"/>
  <c r="AR13" i="2"/>
  <c r="AP10" i="2"/>
  <c r="AP14" i="2"/>
  <c r="AP19" i="2" s="1"/>
  <c r="AG15" i="2"/>
  <c r="Z10" i="2"/>
  <c r="AB11" i="2"/>
  <c r="AB14" i="2" s="1"/>
  <c r="V23" i="2" l="1"/>
  <c r="X25" i="2"/>
  <c r="W28" i="2"/>
  <c r="W18" i="2" s="1"/>
  <c r="W20" i="2" s="1"/>
  <c r="W17" i="2"/>
  <c r="W21" i="2" s="1"/>
  <c r="AB16" i="2"/>
  <c r="AB26" i="2" s="1"/>
  <c r="AA24" i="2"/>
  <c r="AA19" i="2" s="1"/>
  <c r="AR11" i="2"/>
  <c r="AR10" i="2" s="1"/>
  <c r="AS13" i="2"/>
  <c r="AQ14" i="2"/>
  <c r="AQ19" i="2" s="1"/>
  <c r="AQ10" i="2"/>
  <c r="AH15" i="2"/>
  <c r="AA10" i="2"/>
  <c r="W23" i="2" l="1"/>
  <c r="Y25" i="2"/>
  <c r="X17" i="2"/>
  <c r="X21" i="2" s="1"/>
  <c r="X28" i="2"/>
  <c r="X18" i="2" s="1"/>
  <c r="X20" i="2" s="1"/>
  <c r="AC16" i="2"/>
  <c r="AC26" i="2" s="1"/>
  <c r="AB24" i="2"/>
  <c r="AB19" i="2" s="1"/>
  <c r="AR14" i="2"/>
  <c r="AR19" i="2" s="1"/>
  <c r="AS11" i="2"/>
  <c r="AT13" i="2"/>
  <c r="AI15" i="2"/>
  <c r="AC11" i="2"/>
  <c r="AC14" i="2" s="1"/>
  <c r="AC19" i="2" s="1"/>
  <c r="AB10" i="2"/>
  <c r="X23" i="2" l="1"/>
  <c r="Z25" i="2"/>
  <c r="Y28" i="2"/>
  <c r="Y23" i="2" s="1"/>
  <c r="Y17" i="2"/>
  <c r="Y21" i="2" s="1"/>
  <c r="AD16" i="2"/>
  <c r="AD26" i="2" s="1"/>
  <c r="AC24" i="2"/>
  <c r="AU13" i="2"/>
  <c r="AT11" i="2"/>
  <c r="AS14" i="2"/>
  <c r="AS19" i="2" s="1"/>
  <c r="AS10" i="2"/>
  <c r="AJ15" i="2"/>
  <c r="AC10" i="2"/>
  <c r="AD11" i="2"/>
  <c r="AD14" i="2" s="1"/>
  <c r="AD19" i="2" s="1"/>
  <c r="Y18" i="2" l="1"/>
  <c r="Y20" i="2" s="1"/>
  <c r="AA25" i="2"/>
  <c r="Z17" i="2"/>
  <c r="Z21" i="2" s="1"/>
  <c r="Z28" i="2"/>
  <c r="Z18" i="2" s="1"/>
  <c r="Z20" i="2" s="1"/>
  <c r="AE16" i="2"/>
  <c r="AD24" i="2"/>
  <c r="AU11" i="2"/>
  <c r="AU10" i="2" s="1"/>
  <c r="AV13" i="2"/>
  <c r="AV11" i="2" s="1"/>
  <c r="AT10" i="2"/>
  <c r="AT14" i="2"/>
  <c r="AT19" i="2" s="1"/>
  <c r="AK15" i="2"/>
  <c r="AD10" i="2"/>
  <c r="AE11" i="2"/>
  <c r="AE14" i="2" s="1"/>
  <c r="AE19" i="2" s="1"/>
  <c r="Z23" i="2" l="1"/>
  <c r="AB25" i="2"/>
  <c r="AA17" i="2"/>
  <c r="AA21" i="2" s="1"/>
  <c r="AA28" i="2"/>
  <c r="AA18" i="2" s="1"/>
  <c r="AA20" i="2" s="1"/>
  <c r="AF16" i="2"/>
  <c r="AE24" i="2"/>
  <c r="AE26" i="2"/>
  <c r="AU14" i="2"/>
  <c r="AU19" i="2" s="1"/>
  <c r="AV14" i="2"/>
  <c r="AV10" i="2"/>
  <c r="AL15" i="2"/>
  <c r="AF11" i="2"/>
  <c r="AF14" i="2" s="1"/>
  <c r="AF19" i="2" s="1"/>
  <c r="AE10" i="2"/>
  <c r="AA23" i="2" l="1"/>
  <c r="AC25" i="2"/>
  <c r="AB28" i="2"/>
  <c r="AB23" i="2" s="1"/>
  <c r="AB17" i="2"/>
  <c r="AB21" i="2" s="1"/>
  <c r="AV19" i="2"/>
  <c r="AG16" i="2"/>
  <c r="AH16" i="2" s="1"/>
  <c r="AF24" i="2"/>
  <c r="AF26" i="2"/>
  <c r="AM15" i="2"/>
  <c r="AN15" i="2" s="1"/>
  <c r="AG11" i="2"/>
  <c r="AG14" i="2" s="1"/>
  <c r="AG19" i="2" s="1"/>
  <c r="AF10" i="2"/>
  <c r="AH24" i="2" l="1"/>
  <c r="AH26" i="2"/>
  <c r="AB18" i="2"/>
  <c r="AB20" i="2" s="1"/>
  <c r="AD25" i="2"/>
  <c r="AC17" i="2"/>
  <c r="AC21" i="2" s="1"/>
  <c r="AC28" i="2"/>
  <c r="AC18" i="2" s="1"/>
  <c r="AC20" i="2" s="1"/>
  <c r="AI16" i="2"/>
  <c r="AG24" i="2"/>
  <c r="AG26" i="2"/>
  <c r="AO15" i="2"/>
  <c r="AH11" i="2"/>
  <c r="AH14" i="2" s="1"/>
  <c r="AH19" i="2" s="1"/>
  <c r="AG10" i="2"/>
  <c r="AC23" i="2" l="1"/>
  <c r="AE25" i="2"/>
  <c r="AD17" i="2"/>
  <c r="AD21" i="2" s="1"/>
  <c r="AD28" i="2"/>
  <c r="AD18" i="2" s="1"/>
  <c r="AD20" i="2" s="1"/>
  <c r="AJ16" i="2"/>
  <c r="AI24" i="2"/>
  <c r="AI26" i="2"/>
  <c r="AP15" i="2"/>
  <c r="AI11" i="2"/>
  <c r="AI14" i="2" s="1"/>
  <c r="AI19" i="2" s="1"/>
  <c r="AH10" i="2"/>
  <c r="AD23" i="2" l="1"/>
  <c r="AF25" i="2"/>
  <c r="AE17" i="2"/>
  <c r="AE21" i="2" s="1"/>
  <c r="AE28" i="2"/>
  <c r="AE18" i="2" s="1"/>
  <c r="AE20" i="2" s="1"/>
  <c r="AK16" i="2"/>
  <c r="AJ24" i="2"/>
  <c r="AJ26" i="2"/>
  <c r="AQ15" i="2"/>
  <c r="AI10" i="2"/>
  <c r="AJ11" i="2"/>
  <c r="AJ14" i="2" s="1"/>
  <c r="AJ19" i="2" s="1"/>
  <c r="AE23" i="2" l="1"/>
  <c r="AG25" i="2"/>
  <c r="AF17" i="2"/>
  <c r="AF21" i="2" s="1"/>
  <c r="AF28" i="2"/>
  <c r="AF23" i="2" s="1"/>
  <c r="AL16" i="2"/>
  <c r="AK24" i="2"/>
  <c r="AK26" i="2"/>
  <c r="AR15" i="2"/>
  <c r="AL11" i="2"/>
  <c r="AK11" i="2"/>
  <c r="AK14" i="2" s="1"/>
  <c r="AK19" i="2" s="1"/>
  <c r="AJ10" i="2"/>
  <c r="AF18" i="2" l="1"/>
  <c r="AF20" i="2" s="1"/>
  <c r="AH25" i="2"/>
  <c r="AG28" i="2"/>
  <c r="AG23" i="2" s="1"/>
  <c r="AG17" i="2"/>
  <c r="AG21" i="2" s="1"/>
  <c r="AM16" i="2"/>
  <c r="AL26" i="2"/>
  <c r="AL24" i="2"/>
  <c r="AS15" i="2"/>
  <c r="AT15" i="2" s="1"/>
  <c r="AL14" i="2"/>
  <c r="AM10" i="2"/>
  <c r="AK10" i="2"/>
  <c r="AL10" i="2"/>
  <c r="AG18" i="2" l="1"/>
  <c r="AG20" i="2" s="1"/>
  <c r="AI25" i="2"/>
  <c r="AH28" i="2"/>
  <c r="AH23" i="2" s="1"/>
  <c r="AH17" i="2"/>
  <c r="AH21" i="2" s="1"/>
  <c r="AL19" i="2"/>
  <c r="AM19" i="2"/>
  <c r="AN16" i="2"/>
  <c r="AM24" i="2"/>
  <c r="AM26" i="2"/>
  <c r="AU15" i="2"/>
  <c r="AH18" i="2" l="1"/>
  <c r="AH20" i="2" s="1"/>
  <c r="AJ25" i="2"/>
  <c r="AI28" i="2"/>
  <c r="AI18" i="2" s="1"/>
  <c r="AI20" i="2" s="1"/>
  <c r="AI17" i="2"/>
  <c r="AI21" i="2" s="1"/>
  <c r="AO16" i="2"/>
  <c r="AN24" i="2"/>
  <c r="AN26" i="2"/>
  <c r="AV15" i="2"/>
  <c r="AI23" i="2" l="1"/>
  <c r="AK25" i="2"/>
  <c r="AJ28" i="2"/>
  <c r="AJ18" i="2" s="1"/>
  <c r="AJ20" i="2" s="1"/>
  <c r="AJ17" i="2"/>
  <c r="AJ21" i="2" s="1"/>
  <c r="AP16" i="2"/>
  <c r="AO26" i="2"/>
  <c r="AO24" i="2"/>
  <c r="AJ23" i="2" l="1"/>
  <c r="AL25" i="2"/>
  <c r="AK17" i="2"/>
  <c r="AK21" i="2" s="1"/>
  <c r="AK28" i="2"/>
  <c r="AK18" i="2" s="1"/>
  <c r="AK20" i="2" s="1"/>
  <c r="AQ16" i="2"/>
  <c r="AP24" i="2"/>
  <c r="AP26" i="2"/>
  <c r="AK23" i="2" l="1"/>
  <c r="AM25" i="2"/>
  <c r="AL28" i="2"/>
  <c r="AL18" i="2" s="1"/>
  <c r="AL20" i="2" s="1"/>
  <c r="AL17" i="2"/>
  <c r="AL21" i="2" s="1"/>
  <c r="AR16" i="2"/>
  <c r="AQ24" i="2"/>
  <c r="AQ26" i="2"/>
  <c r="AL23" i="2" l="1"/>
  <c r="AN25" i="2"/>
  <c r="AM28" i="2"/>
  <c r="AM23" i="2" s="1"/>
  <c r="AM17" i="2"/>
  <c r="AM21" i="2" s="1"/>
  <c r="AS16" i="2"/>
  <c r="AR26" i="2"/>
  <c r="AR24" i="2"/>
  <c r="AM18" i="2" l="1"/>
  <c r="AM20" i="2" s="1"/>
  <c r="AO25" i="2"/>
  <c r="AN17" i="2"/>
  <c r="AN21" i="2" s="1"/>
  <c r="AN28" i="2"/>
  <c r="AN23" i="2" s="1"/>
  <c r="AT16" i="2"/>
  <c r="AS26" i="2"/>
  <c r="AS24" i="2"/>
  <c r="AN18" i="2" l="1"/>
  <c r="AN20" i="2" s="1"/>
  <c r="AP25" i="2"/>
  <c r="AO17" i="2"/>
  <c r="AO21" i="2" s="1"/>
  <c r="AO28" i="2"/>
  <c r="AO18" i="2" s="1"/>
  <c r="AO20" i="2" s="1"/>
  <c r="AU16" i="2"/>
  <c r="AT24" i="2"/>
  <c r="AT26" i="2"/>
  <c r="W27" i="1" l="1"/>
  <c r="X27" i="1" s="1"/>
  <c r="N27" i="1" s="1"/>
  <c r="W26" i="1"/>
  <c r="AO23" i="2"/>
  <c r="AQ25" i="2"/>
  <c r="AP28" i="2"/>
  <c r="AP18" i="2" s="1"/>
  <c r="AP20" i="2" s="1"/>
  <c r="AP17" i="2"/>
  <c r="AP21" i="2" s="1"/>
  <c r="C29" i="2"/>
  <c r="D29" i="2" s="1"/>
  <c r="AV16" i="2"/>
  <c r="AU26" i="2"/>
  <c r="AU24" i="2"/>
  <c r="N25" i="1"/>
  <c r="V56" i="1"/>
  <c r="S56" i="1"/>
  <c r="N56" i="1" s="1"/>
  <c r="AP23" i="2" l="1"/>
  <c r="AR25" i="2"/>
  <c r="AQ17" i="2"/>
  <c r="AQ21" i="2" s="1"/>
  <c r="AQ28" i="2"/>
  <c r="AQ18" i="2" s="1"/>
  <c r="AQ20" i="2" s="1"/>
  <c r="S58" i="1"/>
  <c r="N58" i="1" s="1"/>
  <c r="AV26" i="2"/>
  <c r="AV24" i="2"/>
  <c r="P35" i="8"/>
  <c r="O35" i="8" s="1"/>
  <c r="P54" i="8"/>
  <c r="S57" i="1"/>
  <c r="N57" i="1" s="1"/>
  <c r="X26" i="1"/>
  <c r="E29" i="2"/>
  <c r="Y30" i="1" l="1"/>
  <c r="Y29" i="1"/>
  <c r="AQ23" i="2"/>
  <c r="AS25" i="2"/>
  <c r="AR17" i="2"/>
  <c r="AR21" i="2" s="1"/>
  <c r="AR28" i="2"/>
  <c r="AR18" i="2" s="1"/>
  <c r="AR20" i="2" s="1"/>
  <c r="N26" i="1"/>
  <c r="N60" i="1"/>
  <c r="N49" i="1" s="1"/>
  <c r="C30" i="2"/>
  <c r="P36" i="8"/>
  <c r="O36" i="8" s="1"/>
  <c r="N36" i="8" s="1"/>
  <c r="M36" i="8" s="1"/>
  <c r="L36" i="8" s="1"/>
  <c r="K36" i="8" s="1"/>
  <c r="J36" i="8" s="1"/>
  <c r="I36" i="8" s="1"/>
  <c r="P55" i="8"/>
  <c r="O55" i="8" s="1"/>
  <c r="N55" i="8" s="1"/>
  <c r="M55" i="8" s="1"/>
  <c r="L55" i="8" s="1"/>
  <c r="K55" i="8" s="1"/>
  <c r="J55" i="8" s="1"/>
  <c r="I55" i="8" s="1"/>
  <c r="O54" i="8"/>
  <c r="S60" i="1"/>
  <c r="S69" i="1" s="1"/>
  <c r="N69" i="1" s="1"/>
  <c r="N68" i="1" s="1"/>
  <c r="F29" i="2"/>
  <c r="Y28" i="1" l="1"/>
  <c r="AR23" i="2"/>
  <c r="AT25" i="2"/>
  <c r="AS17" i="2"/>
  <c r="AS21" i="2" s="1"/>
  <c r="AS28" i="2"/>
  <c r="AS18" i="2" s="1"/>
  <c r="AS20" i="2" s="1"/>
  <c r="P37" i="8"/>
  <c r="P56" i="8"/>
  <c r="P60" i="8"/>
  <c r="P41" i="8"/>
  <c r="O60" i="8"/>
  <c r="O56" i="8"/>
  <c r="O41" i="8"/>
  <c r="N35" i="8"/>
  <c r="N54" i="8"/>
  <c r="O37" i="8"/>
  <c r="D30" i="2"/>
  <c r="C33" i="2"/>
  <c r="G29" i="2"/>
  <c r="W28" i="1" l="1"/>
  <c r="X28" i="1" s="1"/>
  <c r="W35" i="1"/>
  <c r="AS23" i="2"/>
  <c r="AU25" i="2"/>
  <c r="AT17" i="2"/>
  <c r="AT21" i="2" s="1"/>
  <c r="AT28" i="2"/>
  <c r="AT18" i="2" s="1"/>
  <c r="AT20" i="2" s="1"/>
  <c r="O61" i="8"/>
  <c r="O62" i="8"/>
  <c r="O42" i="8"/>
  <c r="O43" i="8"/>
  <c r="P61" i="8"/>
  <c r="P62" i="8"/>
  <c r="P42" i="8"/>
  <c r="P43" i="8"/>
  <c r="P67" i="8"/>
  <c r="P59" i="8"/>
  <c r="P40" i="8"/>
  <c r="O59" i="8"/>
  <c r="O40" i="8"/>
  <c r="O67" i="8"/>
  <c r="M35" i="8"/>
  <c r="N41" i="8"/>
  <c r="M54" i="8"/>
  <c r="N37" i="8"/>
  <c r="N60" i="8"/>
  <c r="N56" i="8"/>
  <c r="D33" i="2"/>
  <c r="D34" i="2" s="1"/>
  <c r="D22" i="2" s="1"/>
  <c r="E30" i="2"/>
  <c r="H29" i="2"/>
  <c r="N28" i="1" l="1"/>
  <c r="X44" i="1"/>
  <c r="W37" i="1"/>
  <c r="Y37" i="1" s="1"/>
  <c r="N37" i="1" s="1"/>
  <c r="S43" i="1"/>
  <c r="W36" i="1"/>
  <c r="Y36" i="1" s="1"/>
  <c r="N36" i="1" s="1"/>
  <c r="Y35" i="1"/>
  <c r="N35" i="1" s="1"/>
  <c r="AT23" i="2"/>
  <c r="AV25" i="2"/>
  <c r="AU17" i="2"/>
  <c r="AU21" i="2" s="1"/>
  <c r="AU28" i="2"/>
  <c r="AU18" i="2" s="1"/>
  <c r="AU20" i="2" s="1"/>
  <c r="P69" i="8"/>
  <c r="O68" i="8"/>
  <c r="P68" i="8"/>
  <c r="O69" i="8"/>
  <c r="N61" i="8"/>
  <c r="N62" i="8"/>
  <c r="N42" i="8"/>
  <c r="N43" i="8"/>
  <c r="P66" i="8"/>
  <c r="N59" i="8"/>
  <c r="O66" i="8"/>
  <c r="N40" i="8"/>
  <c r="N67" i="8"/>
  <c r="M56" i="8"/>
  <c r="M60" i="8"/>
  <c r="M41" i="8"/>
  <c r="L35" i="8"/>
  <c r="L54" i="8"/>
  <c r="M37" i="8"/>
  <c r="F30" i="2"/>
  <c r="E33" i="2"/>
  <c r="E34" i="2" s="1"/>
  <c r="E22" i="2" s="1"/>
  <c r="I29" i="2"/>
  <c r="N14" i="1" l="1"/>
  <c r="N7" i="1"/>
  <c r="N12" i="1" s="1"/>
  <c r="H48" i="1" s="1"/>
  <c r="Y44" i="1"/>
  <c r="Y45" i="1" s="1"/>
  <c r="N45" i="1" s="1"/>
  <c r="AU23" i="2"/>
  <c r="AV17" i="2"/>
  <c r="AV21" i="2" s="1"/>
  <c r="AV28" i="2"/>
  <c r="AV18" i="2" s="1"/>
  <c r="AV20" i="2" s="1"/>
  <c r="N68" i="8"/>
  <c r="N69" i="8"/>
  <c r="M61" i="8"/>
  <c r="M62" i="8"/>
  <c r="M42" i="8"/>
  <c r="M43" i="8"/>
  <c r="N66" i="8"/>
  <c r="M59" i="8"/>
  <c r="K35" i="8"/>
  <c r="L41" i="8"/>
  <c r="K54" i="8"/>
  <c r="L37" i="8"/>
  <c r="L60" i="8"/>
  <c r="L56" i="8"/>
  <c r="M67" i="8"/>
  <c r="M40" i="8"/>
  <c r="G30" i="2"/>
  <c r="F33" i="2"/>
  <c r="F34" i="2" s="1"/>
  <c r="F22" i="2" s="1"/>
  <c r="J29" i="2"/>
  <c r="AV23" i="2" l="1"/>
  <c r="M68" i="8"/>
  <c r="M69" i="8"/>
  <c r="L61" i="8"/>
  <c r="L62" i="8"/>
  <c r="L42" i="8"/>
  <c r="L43" i="8"/>
  <c r="M66" i="8"/>
  <c r="L67" i="8"/>
  <c r="L40" i="8"/>
  <c r="L59" i="8"/>
  <c r="K56" i="8"/>
  <c r="K60" i="8"/>
  <c r="J54" i="8"/>
  <c r="K41" i="8"/>
  <c r="J35" i="8"/>
  <c r="K37" i="8"/>
  <c r="G33" i="2"/>
  <c r="G34" i="2" s="1"/>
  <c r="G22" i="2" s="1"/>
  <c r="H30" i="2"/>
  <c r="K29" i="2"/>
  <c r="K43" i="8" l="1"/>
  <c r="K42" i="8"/>
  <c r="K62" i="8"/>
  <c r="K61" i="8"/>
  <c r="L68" i="8"/>
  <c r="L69" i="8"/>
  <c r="L66" i="8"/>
  <c r="J56" i="8"/>
  <c r="J60" i="8"/>
  <c r="K59" i="8"/>
  <c r="J41" i="8"/>
  <c r="I35" i="8"/>
  <c r="H36" i="8" s="1"/>
  <c r="I54" i="8"/>
  <c r="H55" i="8" s="1"/>
  <c r="J37" i="8"/>
  <c r="K67" i="8"/>
  <c r="K40" i="8"/>
  <c r="I30" i="2"/>
  <c r="H33" i="2"/>
  <c r="H34" i="2" s="1"/>
  <c r="H22" i="2" s="1"/>
  <c r="L29" i="2"/>
  <c r="K69" i="8" l="1"/>
  <c r="J43" i="8"/>
  <c r="J42" i="8"/>
  <c r="J62" i="8"/>
  <c r="J61" i="8"/>
  <c r="K68" i="8"/>
  <c r="J40" i="8"/>
  <c r="K66" i="8"/>
  <c r="H54" i="8"/>
  <c r="G55" i="8" s="1"/>
  <c r="I41" i="8"/>
  <c r="H35" i="8"/>
  <c r="G36" i="8" s="1"/>
  <c r="I37" i="8"/>
  <c r="I60" i="8"/>
  <c r="I56" i="8"/>
  <c r="J59" i="8"/>
  <c r="J67" i="8"/>
  <c r="J30" i="2"/>
  <c r="I33" i="2"/>
  <c r="I34" i="2" s="1"/>
  <c r="I22" i="2" s="1"/>
  <c r="M29" i="2"/>
  <c r="J69" i="8" l="1"/>
  <c r="I43" i="8"/>
  <c r="I42" i="8"/>
  <c r="I62" i="8"/>
  <c r="I61" i="8"/>
  <c r="J68" i="8"/>
  <c r="I67" i="8"/>
  <c r="I40" i="8"/>
  <c r="J66" i="8"/>
  <c r="G35" i="8"/>
  <c r="F36" i="8" s="1"/>
  <c r="G54" i="8"/>
  <c r="F55" i="8" s="1"/>
  <c r="H41" i="8"/>
  <c r="H37" i="8"/>
  <c r="H60" i="8"/>
  <c r="H56" i="8"/>
  <c r="I59" i="8"/>
  <c r="J33" i="2"/>
  <c r="J34" i="2" s="1"/>
  <c r="J22" i="2" s="1"/>
  <c r="K30" i="2"/>
  <c r="N29" i="2"/>
  <c r="I69" i="8" l="1"/>
  <c r="H62" i="8"/>
  <c r="H61" i="8"/>
  <c r="H43" i="8"/>
  <c r="H42" i="8"/>
  <c r="I68" i="8"/>
  <c r="H67" i="8"/>
  <c r="I66" i="8"/>
  <c r="H59" i="8"/>
  <c r="H40" i="8"/>
  <c r="G56" i="8"/>
  <c r="G60" i="8"/>
  <c r="F35" i="8"/>
  <c r="E36" i="8" s="1"/>
  <c r="F54" i="8"/>
  <c r="E55" i="8" s="1"/>
  <c r="G41" i="8"/>
  <c r="G37" i="8"/>
  <c r="L30" i="2"/>
  <c r="K33" i="2"/>
  <c r="K34" i="2" s="1"/>
  <c r="K22" i="2" s="1"/>
  <c r="O29" i="2"/>
  <c r="H68" i="8" l="1"/>
  <c r="H69" i="8"/>
  <c r="G62" i="8"/>
  <c r="G61" i="8"/>
  <c r="G43" i="8"/>
  <c r="G42" i="8"/>
  <c r="H66" i="8"/>
  <c r="G59" i="8"/>
  <c r="F41" i="8"/>
  <c r="E54" i="8"/>
  <c r="D55" i="8" s="1"/>
  <c r="E35" i="8"/>
  <c r="D36" i="8" s="1"/>
  <c r="F37" i="8"/>
  <c r="G67" i="8"/>
  <c r="F60" i="8"/>
  <c r="F56" i="8"/>
  <c r="G40" i="8"/>
  <c r="M30" i="2"/>
  <c r="L33" i="2"/>
  <c r="L34" i="2" s="1"/>
  <c r="L22" i="2" s="1"/>
  <c r="P29" i="2"/>
  <c r="G69" i="8" l="1"/>
  <c r="G68" i="8"/>
  <c r="F62" i="8"/>
  <c r="F61" i="8"/>
  <c r="F43" i="8"/>
  <c r="F42" i="8"/>
  <c r="G66" i="8"/>
  <c r="F67" i="8"/>
  <c r="F40" i="8"/>
  <c r="E56" i="8"/>
  <c r="E60" i="8"/>
  <c r="D35" i="8"/>
  <c r="E41" i="8"/>
  <c r="D54" i="8"/>
  <c r="E37" i="8"/>
  <c r="E43" i="8" s="1"/>
  <c r="F59" i="8"/>
  <c r="N30" i="2"/>
  <c r="M33" i="2"/>
  <c r="M34" i="2" s="1"/>
  <c r="M22" i="2" s="1"/>
  <c r="Q29" i="2"/>
  <c r="E61" i="8" l="1"/>
  <c r="E62" i="8"/>
  <c r="E69" i="8" s="1"/>
  <c r="F69" i="8"/>
  <c r="F68" i="8"/>
  <c r="E59" i="8"/>
  <c r="D41" i="8"/>
  <c r="C41" i="8" s="1"/>
  <c r="D37" i="8"/>
  <c r="E67" i="8"/>
  <c r="E40" i="8"/>
  <c r="E42" i="8"/>
  <c r="D56" i="8"/>
  <c r="D60" i="8"/>
  <c r="F66" i="8"/>
  <c r="O30" i="2"/>
  <c r="N33" i="2"/>
  <c r="N34" i="2" s="1"/>
  <c r="N22" i="2" s="1"/>
  <c r="R29" i="2"/>
  <c r="D42" i="8" l="1"/>
  <c r="C42" i="8" s="1"/>
  <c r="D43" i="8"/>
  <c r="D61" i="8"/>
  <c r="C61" i="8" s="1"/>
  <c r="D62" i="8"/>
  <c r="C62" i="8" s="1"/>
  <c r="E68" i="8"/>
  <c r="D40" i="8"/>
  <c r="C40" i="8" s="1"/>
  <c r="D59" i="8"/>
  <c r="C60" i="8"/>
  <c r="D67" i="8"/>
  <c r="C67" i="8" s="1"/>
  <c r="E66" i="8"/>
  <c r="P30" i="2"/>
  <c r="O33" i="2"/>
  <c r="O34" i="2" s="1"/>
  <c r="O22" i="2" s="1"/>
  <c r="S29" i="2"/>
  <c r="D68" i="8" l="1"/>
  <c r="C68" i="8" s="1"/>
  <c r="D69" i="8"/>
  <c r="C69" i="8" s="1"/>
  <c r="C43" i="8"/>
  <c r="C59" i="8"/>
  <c r="D66" i="8"/>
  <c r="C66" i="8" s="1"/>
  <c r="Q30" i="2"/>
  <c r="P33" i="2"/>
  <c r="P34" i="2" s="1"/>
  <c r="P22" i="2" s="1"/>
  <c r="T29" i="2"/>
  <c r="R30" i="2" l="1"/>
  <c r="Q33" i="2"/>
  <c r="Q34" i="2" s="1"/>
  <c r="Q22" i="2" s="1"/>
  <c r="U29" i="2"/>
  <c r="S30" i="2" l="1"/>
  <c r="R33" i="2"/>
  <c r="R34" i="2" s="1"/>
  <c r="R22" i="2" s="1"/>
  <c r="V29" i="2"/>
  <c r="T30" i="2" l="1"/>
  <c r="S33" i="2"/>
  <c r="S34" i="2" s="1"/>
  <c r="S22" i="2" s="1"/>
  <c r="W29" i="2"/>
  <c r="U30" i="2" l="1"/>
  <c r="T33" i="2"/>
  <c r="T34" i="2" s="1"/>
  <c r="T22" i="2" s="1"/>
  <c r="X29" i="2"/>
  <c r="V30" i="2" l="1"/>
  <c r="U33" i="2"/>
  <c r="U34" i="2" s="1"/>
  <c r="U22" i="2" s="1"/>
  <c r="Y29" i="2"/>
  <c r="W30" i="2" l="1"/>
  <c r="V33" i="2"/>
  <c r="V34" i="2" s="1"/>
  <c r="V22" i="2" s="1"/>
  <c r="Z29" i="2"/>
  <c r="X30" i="2" l="1"/>
  <c r="W33" i="2"/>
  <c r="W34" i="2" s="1"/>
  <c r="W22" i="2" s="1"/>
  <c r="AA29" i="2"/>
  <c r="Y30" i="2" l="1"/>
  <c r="X33" i="2"/>
  <c r="X34" i="2" s="1"/>
  <c r="X22" i="2" s="1"/>
  <c r="AB29" i="2"/>
  <c r="Z30" i="2" l="1"/>
  <c r="Y33" i="2"/>
  <c r="Y34" i="2" s="1"/>
  <c r="Y22" i="2" s="1"/>
  <c r="AC29" i="2"/>
  <c r="AA30" i="2" l="1"/>
  <c r="Z33" i="2"/>
  <c r="Z34" i="2" s="1"/>
  <c r="Z22" i="2" s="1"/>
  <c r="AD29" i="2"/>
  <c r="AB30" i="2" l="1"/>
  <c r="AA33" i="2"/>
  <c r="AA34" i="2" s="1"/>
  <c r="AA22" i="2" s="1"/>
  <c r="AE29" i="2"/>
  <c r="AC30" i="2" l="1"/>
  <c r="AB33" i="2"/>
  <c r="AB34" i="2" s="1"/>
  <c r="AB22" i="2" s="1"/>
  <c r="AF29" i="2"/>
  <c r="AD30" i="2" l="1"/>
  <c r="AC33" i="2"/>
  <c r="AC34" i="2" s="1"/>
  <c r="AC22" i="2" s="1"/>
  <c r="AG29" i="2"/>
  <c r="AE30" i="2" l="1"/>
  <c r="AD33" i="2"/>
  <c r="AD34" i="2" s="1"/>
  <c r="AD22" i="2" s="1"/>
  <c r="AH29" i="2"/>
  <c r="AF30" i="2" l="1"/>
  <c r="AE33" i="2"/>
  <c r="AE34" i="2" s="1"/>
  <c r="AE22" i="2" s="1"/>
  <c r="AI29" i="2"/>
  <c r="AG30" i="2" l="1"/>
  <c r="AF33" i="2"/>
  <c r="AF34" i="2" s="1"/>
  <c r="AF22" i="2" s="1"/>
  <c r="AJ29" i="2"/>
  <c r="AH30" i="2" l="1"/>
  <c r="AG33" i="2"/>
  <c r="AG34" i="2" s="1"/>
  <c r="AG22" i="2" s="1"/>
  <c r="AK29" i="2"/>
  <c r="AI30" i="2" l="1"/>
  <c r="AH33" i="2"/>
  <c r="AH34" i="2" s="1"/>
  <c r="AH22" i="2" s="1"/>
  <c r="AL29" i="2"/>
  <c r="AJ30" i="2" l="1"/>
  <c r="AI33" i="2"/>
  <c r="AI34" i="2" s="1"/>
  <c r="AI22" i="2" s="1"/>
  <c r="AM29" i="2"/>
  <c r="AK30" i="2" l="1"/>
  <c r="AJ33" i="2"/>
  <c r="AJ34" i="2" s="1"/>
  <c r="AJ22" i="2" s="1"/>
  <c r="AN29" i="2"/>
  <c r="AL30" i="2" l="1"/>
  <c r="AK33" i="2"/>
  <c r="AK34" i="2" s="1"/>
  <c r="AK22" i="2" s="1"/>
  <c r="AO29" i="2"/>
  <c r="AM30" i="2" l="1"/>
  <c r="AL33" i="2"/>
  <c r="AL34" i="2" s="1"/>
  <c r="AL22" i="2" s="1"/>
  <c r="AP29" i="2"/>
  <c r="AN30" i="2" l="1"/>
  <c r="AM33" i="2"/>
  <c r="AM34" i="2" s="1"/>
  <c r="AM22" i="2" s="1"/>
  <c r="AQ29" i="2"/>
  <c r="AO30" i="2" l="1"/>
  <c r="AN33" i="2"/>
  <c r="AN34" i="2" s="1"/>
  <c r="AN22" i="2" s="1"/>
  <c r="AR29" i="2"/>
  <c r="AP30" i="2" l="1"/>
  <c r="AO33" i="2"/>
  <c r="AO34" i="2" s="1"/>
  <c r="AO22" i="2" s="1"/>
  <c r="AS29" i="2"/>
  <c r="AQ30" i="2" l="1"/>
  <c r="AP33" i="2"/>
  <c r="AP34" i="2" s="1"/>
  <c r="AP22" i="2" s="1"/>
  <c r="AT29" i="2"/>
  <c r="AR30" i="2" l="1"/>
  <c r="AQ33" i="2"/>
  <c r="AQ34" i="2" s="1"/>
  <c r="AQ22" i="2" s="1"/>
  <c r="AU29" i="2"/>
  <c r="AS30" i="2" l="1"/>
  <c r="AR33" i="2"/>
  <c r="AR34" i="2" s="1"/>
  <c r="AR22" i="2" s="1"/>
  <c r="AV29" i="2"/>
  <c r="AT30" i="2" l="1"/>
  <c r="AS33" i="2"/>
  <c r="AS34" i="2" s="1"/>
  <c r="AS22" i="2" s="1"/>
  <c r="AU30" i="2" l="1"/>
  <c r="AT33" i="2"/>
  <c r="AT34" i="2" s="1"/>
  <c r="AT22" i="2" s="1"/>
  <c r="AV30" i="2" l="1"/>
  <c r="AV33" i="2" s="1"/>
  <c r="AU33" i="2"/>
  <c r="AU34" i="2" s="1"/>
  <c r="AU22" i="2" s="1"/>
  <c r="AV34" i="2" l="1"/>
  <c r="AV2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Perez Martinez, Maria Carmen</author>
  </authors>
  <commentList>
    <comment ref="A4" authorId="0" shapeId="0" xr:uid="{3B59D133-7737-4225-9B82-625E423CCBF5}">
      <text>
        <r>
          <rPr>
            <b/>
            <i/>
            <sz val="10"/>
            <color indexed="81"/>
            <rFont val="Arial Nova"/>
            <family val="2"/>
          </rPr>
          <t xml:space="preserve">
EMPRESA
</t>
        </r>
        <r>
          <rPr>
            <i/>
            <sz val="10"/>
            <color indexed="81"/>
            <rFont val="Arial Nova"/>
            <family val="2"/>
          </rPr>
          <t xml:space="preserve">Aquí aparece el nombre de la empresa para la que trabajas
Como por ejemplo:
 - INDRA SOLUCIONES TI (ISTI)
 - INDRA PRODUCCION SW. S.L. (IPS)
 - INDRA BPO S.L.U. (BPO)
 - INDRA GESTIÓN DE USUARIOS,S.L. (IGU)
 - MINSAIT PAYMENT SYSTEMS, S.L. (MPS)
 - INDRA BUSINESS CONSULTING S.L.U. (IBC)
Recuerda que </t>
        </r>
        <r>
          <rPr>
            <b/>
            <i/>
            <sz val="10"/>
            <color indexed="81"/>
            <rFont val="Arial Nova"/>
            <family val="2"/>
          </rPr>
          <t>MINSAIT no es una empresa, es una marca comercial que abarca a muchas personas ubicadas en distintas empresas</t>
        </r>
        <r>
          <rPr>
            <i/>
            <sz val="10"/>
            <color indexed="81"/>
            <rFont val="Arial Nova"/>
            <family val="2"/>
          </rPr>
          <t xml:space="preserve"> de Indra.
</t>
        </r>
        <r>
          <rPr>
            <sz val="9"/>
            <color indexed="81"/>
            <rFont val="Arial Nova"/>
            <family val="2"/>
          </rPr>
          <t xml:space="preserve">
</t>
        </r>
        <r>
          <rPr>
            <b/>
            <i/>
            <sz val="10"/>
            <color indexed="81"/>
            <rFont val="Arial Nova"/>
            <family val="2"/>
          </rPr>
          <t>CIF</t>
        </r>
        <r>
          <rPr>
            <sz val="9"/>
            <color indexed="81"/>
            <rFont val="Arial Nova"/>
            <family val="2"/>
          </rPr>
          <t xml:space="preserve">
</t>
        </r>
        <r>
          <rPr>
            <i/>
            <sz val="10"/>
            <color indexed="81"/>
            <rFont val="Arial Nova"/>
            <family val="2"/>
          </rPr>
          <t>Aquí aparece el CIF de la empresa para la que trabajas</t>
        </r>
        <r>
          <rPr>
            <sz val="9"/>
            <color indexed="81"/>
            <rFont val="Arial Nova"/>
            <family val="2"/>
          </rPr>
          <t xml:space="preserve">
</t>
        </r>
      </text>
    </comment>
    <comment ref="A6" authorId="0" shapeId="0" xr:uid="{00000000-0006-0000-0000-000003000000}">
      <text>
        <r>
          <rPr>
            <i/>
            <sz val="10"/>
            <color indexed="81"/>
            <rFont val="Arial Nova"/>
            <family val="2"/>
          </rPr>
          <t xml:space="preserve">
</t>
        </r>
        <r>
          <rPr>
            <b/>
            <i/>
            <sz val="10"/>
            <color indexed="81"/>
            <rFont val="Arial Nova"/>
            <family val="2"/>
          </rPr>
          <t>CENTRO DE TRABAJO</t>
        </r>
        <r>
          <rPr>
            <i/>
            <sz val="10"/>
            <color indexed="81"/>
            <rFont val="Arial Nova"/>
            <family val="2"/>
          </rPr>
          <t xml:space="preserve">
Aquí aparece el nombre de tu centro de trabajo.
Aunque estés teletrabajando, tienes que tener asociado un centro de trabajo de la empresa para la que trabajas. 
</t>
        </r>
        <r>
          <rPr>
            <b/>
            <i/>
            <sz val="10"/>
            <color indexed="81"/>
            <rFont val="Arial Nova"/>
            <family val="2"/>
          </rPr>
          <t>CCC SEG. SOCIAL</t>
        </r>
        <r>
          <rPr>
            <i/>
            <sz val="10"/>
            <color indexed="81"/>
            <rFont val="Arial Nova"/>
            <family val="2"/>
          </rPr>
          <t xml:space="preserve">
Aquí aparece la Cuenta de Cotización de tu Centro de Trabajo.
Es el código con el que la Seguridad Social identifica tu centro de trabajo.
</t>
        </r>
      </text>
    </comment>
    <comment ref="O7" authorId="0" shapeId="0" xr:uid="{945AA4C0-0B47-4D0D-8313-DE0C0F763FAF}">
      <text>
        <r>
          <rPr>
            <i/>
            <sz val="10"/>
            <color indexed="81"/>
            <rFont val="Arial Nova"/>
            <family val="2"/>
          </rPr>
          <t xml:space="preserve">
</t>
        </r>
        <r>
          <rPr>
            <b/>
            <i/>
            <sz val="10"/>
            <color indexed="81"/>
            <rFont val="Arial Nova"/>
            <family val="2"/>
          </rPr>
          <t>AUMENTO BRUTO POR AUMENTO DE TABLAS</t>
        </r>
        <r>
          <rPr>
            <i/>
            <sz val="10"/>
            <color indexed="81"/>
            <rFont val="Arial Nova"/>
            <family val="2"/>
          </rPr>
          <t xml:space="preserve">
Es la suma de lo que aumentan los siguientes conceptos en cada nómina:
</t>
        </r>
        <r>
          <rPr>
            <b/>
            <i/>
            <sz val="10"/>
            <color indexed="81"/>
            <rFont val="Arial Nova"/>
            <family val="2"/>
          </rPr>
          <t xml:space="preserve">
  - </t>
        </r>
        <r>
          <rPr>
            <i/>
            <sz val="10"/>
            <color indexed="81"/>
            <rFont val="Arial Nova"/>
            <family val="2"/>
          </rPr>
          <t xml:space="preserve">incremento del </t>
        </r>
        <r>
          <rPr>
            <b/>
            <i/>
            <sz val="10"/>
            <color indexed="81"/>
            <rFont val="Arial Nova"/>
            <family val="2"/>
          </rPr>
          <t xml:space="preserve">Salario Base
  - </t>
        </r>
        <r>
          <rPr>
            <i/>
            <sz val="10"/>
            <color indexed="81"/>
            <rFont val="Arial Nova"/>
            <family val="2"/>
          </rPr>
          <t xml:space="preserve">incremento del </t>
        </r>
        <r>
          <rPr>
            <b/>
            <i/>
            <sz val="10"/>
            <color indexed="81"/>
            <rFont val="Arial Nova"/>
            <family val="2"/>
          </rPr>
          <t>Plus Convenio</t>
        </r>
        <r>
          <rPr>
            <i/>
            <sz val="10"/>
            <color indexed="81"/>
            <rFont val="Arial Nova"/>
            <family val="2"/>
          </rPr>
          <t xml:space="preserve">
  - incremento del EX SALARIO BASE 2022 (si lo tienes)
  - incremento del EX PLUS CONVENIO 2022 (si lo tienes)
  - incremento del </t>
        </r>
        <r>
          <rPr>
            <b/>
            <i/>
            <sz val="10"/>
            <color indexed="81"/>
            <rFont val="Arial Nova"/>
            <family val="2"/>
          </rPr>
          <t>Teletrabajo</t>
        </r>
        <r>
          <rPr>
            <i/>
            <sz val="10"/>
            <color indexed="81"/>
            <rFont val="Arial Nova"/>
            <family val="2"/>
          </rPr>
          <t xml:space="preserve"> (si usas esta modalidad)
  - incremento de la </t>
        </r>
        <r>
          <rPr>
            <b/>
            <i/>
            <sz val="10"/>
            <color indexed="81"/>
            <rFont val="Arial Nova"/>
            <family val="2"/>
          </rPr>
          <t>Antigüedad</t>
        </r>
        <r>
          <rPr>
            <i/>
            <sz val="10"/>
            <color indexed="81"/>
            <rFont val="Arial Nova"/>
            <family val="2"/>
          </rPr>
          <t xml:space="preserve"> por aumentar la base de su cálculo
  - incremento de la PRORRATA de pagas extraordinarias de los conceptos anteriores (si cobras en 12 pagas)
Aunque no cumplas un nuevo trienio, el concepto de antigüedad también aumenta porque aumenta la base sobre la que se calcula.
    Ejemplo:
    Salario Base en 2024 = 1.000 € y antigüedad del 10% (2 trienios) --&gt; antigüedad = 100 €
    Salario Base en 2025 = 1.040 € y antigüedad del 10% (2 trienios) --&gt; antigüedad = 104 €
    La antigüedad ha aumentado 4€ en cada nómina</t>
        </r>
      </text>
    </comment>
    <comment ref="O10" authorId="0" shapeId="0" xr:uid="{735CAF3C-3E43-428D-9C44-E36207413FA9}">
      <text>
        <r>
          <rPr>
            <b/>
            <i/>
            <sz val="10"/>
            <color indexed="81"/>
            <rFont val="Arial Nova"/>
            <family val="2"/>
          </rPr>
          <t xml:space="preserve">
AUMENTO BRUTO DEL TRIENIO
Si cumples un nuevo trienio el % de la antigüedad aumenta
</t>
        </r>
        <r>
          <rPr>
            <i/>
            <sz val="10"/>
            <color indexed="81"/>
            <rFont val="Arial Nova"/>
            <family val="2"/>
          </rPr>
          <t xml:space="preserve">  
   </t>
        </r>
        <r>
          <rPr>
            <i/>
            <u/>
            <sz val="10"/>
            <color indexed="81"/>
            <rFont val="Arial Nova"/>
            <family val="2"/>
          </rPr>
          <t>Ejemplo:</t>
        </r>
        <r>
          <rPr>
            <i/>
            <sz val="10"/>
            <color indexed="81"/>
            <rFont val="Arial Nova"/>
            <family val="2"/>
          </rPr>
          <t xml:space="preserve"> Cumples nuevo trienio en 2025. Pasas de 2 trienios a 3 trienios y tu antigüedad pasa del 10% al 15%.
   Salario Base en 2024 = 1.000 € y antigüedad del 10% (2 trienios) --&gt; antigüedad = 100 €</t>
        </r>
        <r>
          <rPr>
            <b/>
            <sz val="9"/>
            <color indexed="81"/>
            <rFont val="Tahoma"/>
            <family val="2"/>
          </rPr>
          <t xml:space="preserve">
   </t>
        </r>
        <r>
          <rPr>
            <i/>
            <sz val="10"/>
            <color indexed="81"/>
            <rFont val="Arial Nova"/>
            <family val="2"/>
          </rPr>
          <t>Salario Base en 2025 = 1.040 € y antigüedad del 15% (3 trienios) --&gt; antigüedad = 156 €
   La antigüedad ha aumentado 56€ en cada nómina</t>
        </r>
      </text>
    </comment>
    <comment ref="A11" authorId="0" shapeId="0" xr:uid="{23A20FBE-4A90-4782-A3B9-D9703B840B8A}">
      <text>
        <r>
          <rPr>
            <b/>
            <i/>
            <sz val="10"/>
            <color indexed="81"/>
            <rFont val="Arial Nova"/>
            <family val="2"/>
          </rPr>
          <t xml:space="preserve">
NIF
</t>
        </r>
        <r>
          <rPr>
            <i/>
            <sz val="10"/>
            <color indexed="81"/>
            <rFont val="Arial Nova"/>
            <family val="2"/>
          </rPr>
          <t>Tu NIF o NIE</t>
        </r>
        <r>
          <rPr>
            <b/>
            <i/>
            <sz val="10"/>
            <color indexed="81"/>
            <rFont val="Arial Nova"/>
            <family val="2"/>
          </rPr>
          <t xml:space="preserve">
Nº AFILIACIÓN SEGURIDAD SOCIAL
</t>
        </r>
        <r>
          <rPr>
            <i/>
            <sz val="10"/>
            <color indexed="81"/>
            <rFont val="Arial Nova"/>
            <family val="2"/>
          </rPr>
          <t xml:space="preserve">Aquí va tu número de afiliación a la Seguridad Social, que es el código mediante el cual te identifica la Seguridad Social como persona trabajadora. 
Este código se te otorgó con tu primer contrato laboral.
Los dos primeros dígitos corresponden a la provincia donde iniciaste tu vida laboral en España.
</t>
        </r>
        <r>
          <rPr>
            <b/>
            <i/>
            <sz val="10"/>
            <color indexed="81"/>
            <rFont val="Arial Nova"/>
            <family val="2"/>
          </rPr>
          <t xml:space="preserve">
% JORNADA = PORCENTAJE DE JORNADA TRABAJADA</t>
        </r>
        <r>
          <rPr>
            <i/>
            <sz val="10"/>
            <color indexed="81"/>
            <rFont val="Arial Nova"/>
            <family val="2"/>
          </rPr>
          <t xml:space="preserve">
Si trabajas a jornada completa, no tienes reducción de jornada ni contrato a tiempo parcial, aquí debes introducir 100,00%.
La reducción máxima de jornada es de 1/2 (50%) donde se trabaja el 50% de la jornada.
La reducción mínima de jornada es de 1/8 (12,5%) donde se trabaja el 87,50% de la joranada.
</t>
        </r>
        <r>
          <rPr>
            <b/>
            <i/>
            <sz val="10"/>
            <color indexed="81"/>
            <rFont val="Arial Nova"/>
            <family val="2"/>
          </rPr>
          <t xml:space="preserve">
GRUPO TARIFA</t>
        </r>
        <r>
          <rPr>
            <i/>
            <sz val="10"/>
            <color indexed="81"/>
            <rFont val="Arial Nova"/>
            <family val="2"/>
          </rPr>
          <t xml:space="preserve">
Indica las bases de contingencias comunes mínimas y máximas que podemos cotizar a la Seguridad Social. Se puede cobrar 6.000€ brutos al mes, pero se cotizan como máximo hasta los primeros 4.720,50€.
Para el Año 2024, Según la página web de la Seguridad Social
GRUPO         BCC MÍNIMA          BCC MÁXIMA
-----------         --------------------         --------------------
    01             1.847,40                  4.720,50
    02             1.532,10                  4.720,50
    03             1.332,90                  4.720,50
</t>
        </r>
        <r>
          <rPr>
            <b/>
            <i/>
            <sz val="10"/>
            <color indexed="81"/>
            <rFont val="Arial Nova"/>
            <family val="2"/>
          </rPr>
          <t>ANTIGÜEDAD</t>
        </r>
        <r>
          <rPr>
            <i/>
            <sz val="10"/>
            <color indexed="81"/>
            <rFont val="Arial Nova"/>
            <family val="2"/>
          </rPr>
          <t xml:space="preserve">
Aquí va la fecha en la que comenzó tu contrato laboral (fecha de alta en la empresa en la Seguridad Social)
En función de esta fecha se calculan los trienios que llevas en la empresa.
</t>
        </r>
      </text>
    </comment>
    <comment ref="A13" authorId="0" shapeId="0" xr:uid="{608D4733-B2DE-478B-A3F2-425E3D585667}">
      <text>
        <r>
          <rPr>
            <b/>
            <i/>
            <sz val="10"/>
            <color indexed="81"/>
            <rFont val="Arial Nova"/>
            <family val="2"/>
          </rPr>
          <t xml:space="preserve">
CATEGORÍA / GRUPO PROFESIONAL
  </t>
        </r>
        <r>
          <rPr>
            <i/>
            <sz val="10"/>
            <color indexed="81"/>
            <rFont val="Arial Nova"/>
            <family val="2"/>
          </rPr>
          <t xml:space="preserve">- En el convenio sectorial que nos aplica vienen definidas las categorías o grupos profesionales con las funciones que se realizan en cada una de ellas y sus salarios base y pluses de convenio asociados.
  - Tu categoría profesional o grupo profesional, únicamente la encontrarás en la cabecera de tu nómina.
  - Al aumentar de categoría, la subida salarial correspondiente es obligatoria, para cualquier persona que pase a esa categoría.
  - La categoría profesional debería actualizarse y aumentar conforme adquirimos más experiencia, más funciones y más responsabilidad.
</t>
        </r>
        <r>
          <rPr>
            <b/>
            <i/>
            <sz val="10"/>
            <color indexed="81"/>
            <rFont val="Arial Nova"/>
            <family val="2"/>
          </rPr>
          <t xml:space="preserve">
ROL INTERNO
</t>
        </r>
        <r>
          <rPr>
            <i/>
            <sz val="10"/>
            <color indexed="81"/>
            <rFont val="Arial Nova"/>
            <family val="2"/>
          </rPr>
          <t xml:space="preserve">  - El rol interno o clasificación de la empresa, es una etiqueta que la empresa nos asigna, generalmente en inglés que podrás encontrar junto a la información de tu perfil en la web de la empresa.
  - El aumento de rol únicamente tiene subida salarial cuando la empresa así lo decide y en la cantidad que la empresa decide para una persona dada. Dos personas que aumenten al mismo rol, pueden percibir cantidades distintas o incluso una percibir aumento y la otra no. El criterio es decisión total de la empresa.
  - En el caso de que un aumento de rol también tenga una subida salarial, esta subida se incorpora habitualmente en la nómina dentro de un complemento personal absorbible.
  - Este complemento persona absorbible, absorberá las futuras subidas salariales y las futuras antigüedades generadas.
</t>
        </r>
        <r>
          <rPr>
            <b/>
            <i/>
            <sz val="10"/>
            <color indexed="81"/>
            <rFont val="Arial Nova"/>
            <family val="2"/>
          </rPr>
          <t xml:space="preserve">
PERIODO DE LIQUIDACIÓN</t>
        </r>
        <r>
          <rPr>
            <i/>
            <sz val="10"/>
            <color indexed="81"/>
            <rFont val="Arial Nova"/>
            <family val="2"/>
          </rPr>
          <t xml:space="preserve">
 - El mes al que se refiere la nómina
</t>
        </r>
        <r>
          <rPr>
            <b/>
            <i/>
            <sz val="10"/>
            <color indexed="81"/>
            <rFont val="Arial Nova"/>
            <family val="2"/>
          </rPr>
          <t xml:space="preserve">
DÍAS</t>
        </r>
        <r>
          <rPr>
            <i/>
            <sz val="10"/>
            <color indexed="81"/>
            <rFont val="Arial Nova"/>
            <family val="2"/>
          </rPr>
          <t xml:space="preserve">
 - Siempre son 30, tenga el mes los días que tenga, porque cobramos en meses no en días</t>
        </r>
      </text>
    </comment>
    <comment ref="O14" authorId="0" shapeId="0" xr:uid="{6BE999B1-DE6D-4FEF-B7C7-5B0631E97395}">
      <text>
        <r>
          <rPr>
            <i/>
            <sz val="10"/>
            <color indexed="81"/>
            <rFont val="Arial Nova"/>
            <family val="2"/>
          </rPr>
          <t xml:space="preserve">
</t>
        </r>
        <r>
          <rPr>
            <b/>
            <i/>
            <sz val="10"/>
            <color indexed="81"/>
            <rFont val="Arial Nova"/>
            <family val="2"/>
          </rPr>
          <t>AUMENTO BRUTO REAL</t>
        </r>
        <r>
          <rPr>
            <i/>
            <sz val="10"/>
            <color indexed="81"/>
            <rFont val="Arial Nova"/>
            <family val="2"/>
          </rPr>
          <t xml:space="preserve">
Es el aumento bruto que queda tras las absorciones de los complementos que absorven de subidas salariales.
Si </t>
        </r>
        <r>
          <rPr>
            <b/>
            <i/>
            <sz val="10"/>
            <color indexed="81"/>
            <rFont val="Arial Nova"/>
            <family val="2"/>
          </rPr>
          <t>NO tienes ningún complemento absorbible</t>
        </r>
        <r>
          <rPr>
            <i/>
            <sz val="10"/>
            <color indexed="81"/>
            <rFont val="Arial Nova"/>
            <family val="2"/>
          </rPr>
          <t xml:space="preserve">, estás a PURO CONVENIO y COBRARÁS TODAS LAS SUBIDAS APLICADAS
Si </t>
        </r>
        <r>
          <rPr>
            <b/>
            <i/>
            <sz val="10"/>
            <color indexed="81"/>
            <rFont val="Arial Nova"/>
            <family val="2"/>
          </rPr>
          <t>tienes complementos absorbibles</t>
        </r>
        <r>
          <rPr>
            <i/>
            <sz val="10"/>
            <color indexed="81"/>
            <rFont val="Arial Nova"/>
            <family val="2"/>
          </rPr>
          <t xml:space="preserve">:
      - Si los complementos son </t>
        </r>
        <r>
          <rPr>
            <b/>
            <i/>
            <sz val="10"/>
            <color indexed="81"/>
            <rFont val="Arial Nova"/>
            <family val="2"/>
          </rPr>
          <t>inferiores a las subidas aplicadas</t>
        </r>
        <r>
          <rPr>
            <i/>
            <sz val="10"/>
            <color indexed="81"/>
            <rFont val="Arial Nova"/>
            <family val="2"/>
          </rPr>
          <t xml:space="preserve">, COBRARÁS ALGO MÁS QUE ANTES y desaparecerán los complementos absorbibles de tu nómina.
      - Si los complementos son </t>
        </r>
        <r>
          <rPr>
            <b/>
            <i/>
            <sz val="10"/>
            <color indexed="81"/>
            <rFont val="Arial Nova"/>
            <family val="2"/>
          </rPr>
          <t>superiores a las subidas aplicadas</t>
        </r>
        <r>
          <rPr>
            <i/>
            <sz val="10"/>
            <color indexed="81"/>
            <rFont val="Arial Nova"/>
            <family val="2"/>
          </rPr>
          <t xml:space="preserve">, COBRARÁS LO MISMO QUE ANTES y seguirás teniendo complementos absorbibles, que volverán a abosorber en su totalidad o en parte la siguiente subida salarial o de antigüedad.
</t>
        </r>
        <r>
          <rPr>
            <sz val="9"/>
            <color indexed="81"/>
            <rFont val="Tahoma"/>
            <family val="2"/>
          </rPr>
          <t xml:space="preserve">
</t>
        </r>
      </text>
    </comment>
    <comment ref="A18" authorId="0" shapeId="0" xr:uid="{B43FA4D6-200B-4AA5-8616-991B80F6EB17}">
      <text>
        <r>
          <rPr>
            <b/>
            <i/>
            <sz val="10"/>
            <color indexed="81"/>
            <rFont val="Arial Nova"/>
            <family val="2"/>
          </rPr>
          <t xml:space="preserve">
UNIDADES
</t>
        </r>
        <r>
          <rPr>
            <i/>
            <sz val="10"/>
            <color indexed="81"/>
            <rFont val="Arial Nova"/>
            <family val="2"/>
          </rPr>
          <t xml:space="preserve">Porcentaje del periodo 
Ejemplo: Si en un periodo estamos 18 días trabajando y 12 días de baja, en la mayoría de conceptos aparecerá un 60,00. (30*0,60=18)
En esa nómina también aparecerá el concepto de Complemento IT (Complemento por Incapacidad Temporal) correspondiente a los 12 días de baja.
</t>
        </r>
        <r>
          <rPr>
            <b/>
            <i/>
            <sz val="10"/>
            <color indexed="81"/>
            <rFont val="Arial Nova"/>
            <family val="2"/>
          </rPr>
          <t>IMPORTE</t>
        </r>
        <r>
          <rPr>
            <i/>
            <sz val="10"/>
            <color indexed="81"/>
            <rFont val="Arial Nova"/>
            <family val="2"/>
          </rPr>
          <t xml:space="preserve">
Importe de cada concepto según el porcentaje de la jornada trabajada.
</t>
        </r>
        <r>
          <rPr>
            <b/>
            <i/>
            <sz val="10"/>
            <color indexed="81"/>
            <rFont val="Arial Nova"/>
            <family val="2"/>
          </rPr>
          <t>Si tenemos jornada reducida,</t>
        </r>
        <r>
          <rPr>
            <i/>
            <sz val="10"/>
            <color indexed="81"/>
            <rFont val="Arial Nova"/>
            <family val="2"/>
          </rPr>
          <t xml:space="preserve"> este importe aparecerá reducido según el % de jornada trabajada para algunos conceptos.
</t>
        </r>
        <r>
          <rPr>
            <b/>
            <i/>
            <sz val="10"/>
            <color indexed="81"/>
            <rFont val="Arial Nova"/>
            <family val="2"/>
          </rPr>
          <t>OJO!!</t>
        </r>
        <r>
          <rPr>
            <i/>
            <sz val="10"/>
            <color indexed="81"/>
            <rFont val="Arial Nova"/>
            <family val="2"/>
          </rPr>
          <t xml:space="preserve"> </t>
        </r>
        <r>
          <rPr>
            <b/>
            <i/>
            <sz val="10"/>
            <color indexed="81"/>
            <rFont val="Arial Nova"/>
            <family val="2"/>
          </rPr>
          <t>No todos los importes se reducen.</t>
        </r>
        <r>
          <rPr>
            <i/>
            <sz val="10"/>
            <color indexed="81"/>
            <rFont val="Arial Nova"/>
            <family val="2"/>
          </rPr>
          <t xml:space="preserve"> Por ejemplo el teletrabajo o el plus transporte NO SE REDUCEN porque aunque se trabaje menos horas el desplazamiento se realiza igualmente o aunque se trabaje menos horas la modalidad de trabajo es presencial o en teletrabajo.
</t>
        </r>
        <r>
          <rPr>
            <b/>
            <i/>
            <sz val="10"/>
            <color indexed="81"/>
            <rFont val="Arial Nova"/>
            <family val="2"/>
          </rPr>
          <t>DEVENGOS</t>
        </r>
        <r>
          <rPr>
            <i/>
            <sz val="10"/>
            <color indexed="81"/>
            <rFont val="Arial Nova"/>
            <family val="2"/>
          </rPr>
          <t xml:space="preserve">
Los devengos son los ingresos brutos obtenidos formados por la suma de percepciones salariales y perceptiones extrasalariales. </t>
        </r>
        <r>
          <rPr>
            <b/>
            <i/>
            <sz val="10"/>
            <color indexed="81"/>
            <rFont val="Arial Nova"/>
            <family val="2"/>
          </rPr>
          <t xml:space="preserve">
</t>
        </r>
        <r>
          <rPr>
            <i/>
            <sz val="10"/>
            <color indexed="81"/>
            <rFont val="Arial Nova"/>
            <family val="2"/>
          </rPr>
          <t xml:space="preserve">
</t>
        </r>
        <r>
          <rPr>
            <b/>
            <i/>
            <sz val="10"/>
            <color indexed="81"/>
            <rFont val="Arial Nova"/>
            <family val="2"/>
          </rPr>
          <t>DESCUENTOS</t>
        </r>
        <r>
          <rPr>
            <i/>
            <sz val="10"/>
            <color indexed="81"/>
            <rFont val="Arial Nova"/>
            <family val="2"/>
          </rPr>
          <t xml:space="preserve">
Sobre la suma de los devengos se calcula la base de cotización a la Seguridad Social y la base imponible del IRPF y a estas bases se aplican las deducciones.</t>
        </r>
      </text>
    </comment>
    <comment ref="A19" authorId="0" shapeId="0" xr:uid="{00000000-0006-0000-0000-00000A000000}">
      <text>
        <r>
          <rPr>
            <b/>
            <sz val="10"/>
            <color indexed="81"/>
            <rFont val="Arial Nova"/>
            <family val="2"/>
          </rPr>
          <t xml:space="preserve">
</t>
        </r>
        <r>
          <rPr>
            <b/>
            <i/>
            <sz val="10"/>
            <color indexed="81"/>
            <rFont val="Arial Nova"/>
            <family val="2"/>
          </rPr>
          <t xml:space="preserve">SALARIO BASE
</t>
        </r>
        <r>
          <rPr>
            <i/>
            <sz val="10"/>
            <color indexed="81"/>
            <rFont val="Arial Nova"/>
            <family val="2"/>
          </rPr>
          <t>Es el salario mínimo que en 2024 debe cobrar una persona con la categoría indicada arriba, en la cabecera de la nómina.
La categoría o grupo profesional está definida y cuantificada económicamente en el convenio sectorial.
Este concepto aparece siempre en todas las nóminas.
Este concepto COTIZA y TRIBUTA (se les aplica los % de cotización y el % de IRPF).</t>
        </r>
        <r>
          <rPr>
            <sz val="10"/>
            <color indexed="81"/>
            <rFont val="Tahoma"/>
            <family val="2"/>
          </rPr>
          <t xml:space="preserve">
</t>
        </r>
        <r>
          <rPr>
            <b/>
            <i/>
            <sz val="10"/>
            <color indexed="81"/>
            <rFont val="Arial Nova"/>
            <family val="2"/>
          </rPr>
          <t xml:space="preserve">Si te aparece el importe vacío es porque te falta introducir el % de jornada trabajada.
</t>
        </r>
      </text>
    </comment>
    <comment ref="A20" authorId="0" shapeId="0" xr:uid="{00000000-0006-0000-0000-00000B000000}">
      <text>
        <r>
          <rPr>
            <b/>
            <sz val="9"/>
            <color indexed="81"/>
            <rFont val="Tahoma"/>
            <family val="2"/>
          </rPr>
          <t xml:space="preserve">
</t>
        </r>
        <r>
          <rPr>
            <b/>
            <i/>
            <sz val="10"/>
            <color indexed="81"/>
            <rFont val="Arial Nova"/>
            <family val="2"/>
          </rPr>
          <t xml:space="preserve">EX SALARIO BASE 2022
</t>
        </r>
        <r>
          <rPr>
            <i/>
            <sz val="10"/>
            <color indexed="81"/>
            <rFont val="Arial Nova"/>
            <family val="2"/>
          </rPr>
          <t xml:space="preserve">
Con la aplicación del convenio sectorial en 2022 se hizo una reclasificación profesional.
En la reclasificación, el salario base de la categoría destino podía ser inferior del salario base de la categoría origen, la diferencia aparecía en este nuevo concepto, al que también se deberán aplicar los porcentajes de subidas salariales sobre salarios base que se pacten en el futuro.
Este concepto COTIZA y TRIBUTA (se les aplica los % de cotización y el % de IRPF).
</t>
        </r>
      </text>
    </comment>
    <comment ref="A21" authorId="0" shapeId="0" xr:uid="{00000000-0006-0000-0000-00000C000000}">
      <text>
        <r>
          <rPr>
            <sz val="9"/>
            <color indexed="81"/>
            <rFont val="Arial Nova"/>
            <family val="2"/>
          </rPr>
          <t xml:space="preserve">
</t>
        </r>
        <r>
          <rPr>
            <b/>
            <i/>
            <sz val="10"/>
            <color indexed="81"/>
            <rFont val="Arial Nova"/>
            <family val="2"/>
          </rPr>
          <t>PLUS CONVENIO</t>
        </r>
        <r>
          <rPr>
            <i/>
            <sz val="10"/>
            <color indexed="81"/>
            <rFont val="Arial Nova"/>
            <family val="2"/>
          </rPr>
          <t xml:space="preserve">
Es el plus convenio mínimo que en 2024 debe cobrar una persona con la categoría indicada arriba, en la cabecera de la nómina.
La categoría o grupo profesional está definida y cuantificada económicamente en el convenio sectorial (su salario base y su plus convenio)
Este concepto aparece siempre en todas las nóminas.
Este concepto COTIZA y TRIBUTA (se les aplica los % de cotización y el % de IRPF).
</t>
        </r>
        <r>
          <rPr>
            <b/>
            <i/>
            <sz val="10"/>
            <color indexed="81"/>
            <rFont val="Arial Nova"/>
            <family val="2"/>
          </rPr>
          <t xml:space="preserve">Si te aparece el importe vacío es porque te falta introducir el % de jornada trabajada. </t>
        </r>
      </text>
    </comment>
    <comment ref="A22" authorId="0" shapeId="0" xr:uid="{099111AA-0054-4336-9956-815536AF2245}">
      <text>
        <r>
          <rPr>
            <b/>
            <i/>
            <sz val="10"/>
            <color indexed="81"/>
            <rFont val="Arial Nova"/>
            <family val="2"/>
          </rPr>
          <t xml:space="preserve">
EX PLUS CONVENIO 2022
</t>
        </r>
        <r>
          <rPr>
            <i/>
            <sz val="10"/>
            <color indexed="81"/>
            <rFont val="Arial Nova"/>
            <family val="2"/>
          </rPr>
          <t xml:space="preserve">
Con la aplicación del convenio sectorial en 2022 se hizo una reclasificación profesional.
En la reclasificación, el plus convenio de la categoría destino podía ser inferior del plus convenio de la categoría origen, la diferencia aparecía en este nuevo concepto, al que también se deberán aplicar los porcentajes de subidas salariales sobre pluses convenio que se pacten en el futuro.
Este concepto COTIZA y TRIBUTA (se les aplica los % de cotización y el % de IRPF).
</t>
        </r>
      </text>
    </comment>
    <comment ref="A23" authorId="0" shapeId="0" xr:uid="{00000000-0006-0000-0000-00000D000000}">
      <text>
        <r>
          <rPr>
            <i/>
            <sz val="10"/>
            <color indexed="81"/>
            <rFont val="Arial Nova"/>
            <family val="2"/>
          </rPr>
          <t xml:space="preserve">
</t>
        </r>
        <r>
          <rPr>
            <b/>
            <i/>
            <sz val="10"/>
            <color indexed="81"/>
            <rFont val="Arial Nova"/>
            <family val="2"/>
          </rPr>
          <t>ANTIGÜEDAD</t>
        </r>
        <r>
          <rPr>
            <i/>
            <sz val="10"/>
            <color indexed="81"/>
            <rFont val="Arial Nova"/>
            <family val="2"/>
          </rPr>
          <t xml:space="preserve">
Es un % sobre el Salario Base de la Categoría que ACTUALMENTE aparece en la cabecera de la nómina (no sobre la categoría por la que te contrataron inicialmente).
Si aún no te aparece este concepto en la nómina es porque llevas en la empresa menos de 3 años. Una vez transcurridos los 3 primeros años, este concepto ha de aparecer siempre, obligatoriamente en tu nómina.
</t>
        </r>
        <r>
          <rPr>
            <b/>
            <i/>
            <sz val="10"/>
            <color indexed="81"/>
            <rFont val="Arial Nova"/>
            <family val="2"/>
          </rPr>
          <t>Trienio</t>
        </r>
        <r>
          <rPr>
            <i/>
            <sz val="10"/>
            <color indexed="81"/>
            <rFont val="Arial Nova"/>
            <family val="2"/>
          </rPr>
          <t xml:space="preserve">: cada 3 años que permanecemos en la misma empresa cumplimos un nuevo trienio. Se cobra desde enero del año en que cumplimos un nuevo trienio.
</t>
        </r>
        <r>
          <rPr>
            <b/>
            <i/>
            <sz val="10"/>
            <color indexed="81"/>
            <rFont val="Arial Nova"/>
            <family val="2"/>
          </rPr>
          <t>Ejemplo</t>
        </r>
        <r>
          <rPr>
            <i/>
            <sz val="10"/>
            <color indexed="81"/>
            <rFont val="Arial Nova"/>
            <family val="2"/>
          </rPr>
          <t xml:space="preserve">: una persona que comienza en la empresa en diciembre de 2022 comenzará a cobrar antigüedad en la nómina de enero de 2025, esta antigüedad aumentará en enero de 2028 y volverá a aumentar en enero de 2031 ...
</t>
        </r>
        <r>
          <rPr>
            <b/>
            <i/>
            <sz val="10"/>
            <color indexed="81"/>
            <rFont val="Arial Nova"/>
            <family val="2"/>
          </rPr>
          <t>Antigüedad según trienios:</t>
        </r>
        <r>
          <rPr>
            <i/>
            <sz val="10"/>
            <color indexed="81"/>
            <rFont val="Arial Nova"/>
            <family val="2"/>
          </rPr>
          <t xml:space="preserve">
0 trienios - Menos de 3 años en la empresa    - Antigüedad =  </t>
        </r>
        <r>
          <rPr>
            <b/>
            <i/>
            <sz val="10"/>
            <color indexed="81"/>
            <rFont val="Arial Nova"/>
            <family val="2"/>
          </rPr>
          <t>0%</t>
        </r>
        <r>
          <rPr>
            <i/>
            <sz val="10"/>
            <color indexed="81"/>
            <rFont val="Arial Nova"/>
            <family val="2"/>
          </rPr>
          <t xml:space="preserve"> del Salario Base
1 trienio - de 3 años a 5 años en la empresa - Antigüedad =  </t>
        </r>
        <r>
          <rPr>
            <b/>
            <i/>
            <sz val="10"/>
            <color indexed="81"/>
            <rFont val="Arial Nova"/>
            <family val="2"/>
          </rPr>
          <t xml:space="preserve">5% </t>
        </r>
        <r>
          <rPr>
            <i/>
            <sz val="10"/>
            <color indexed="81"/>
            <rFont val="Arial Nova"/>
            <family val="2"/>
          </rPr>
          <t xml:space="preserve">del Salario Base
2 trienios - de 6 años a 8 años en la empresa - Antigüedad = </t>
        </r>
        <r>
          <rPr>
            <b/>
            <i/>
            <sz val="10"/>
            <color indexed="81"/>
            <rFont val="Arial Nova"/>
            <family val="2"/>
          </rPr>
          <t xml:space="preserve">10% </t>
        </r>
        <r>
          <rPr>
            <i/>
            <sz val="10"/>
            <color indexed="81"/>
            <rFont val="Arial Nova"/>
            <family val="2"/>
          </rPr>
          <t xml:space="preserve">del Salario Base
3 trienios - de 9 años a 11 años en la empresa - Antigüedad = </t>
        </r>
        <r>
          <rPr>
            <b/>
            <i/>
            <sz val="10"/>
            <color indexed="81"/>
            <rFont val="Arial Nova"/>
            <family val="2"/>
          </rPr>
          <t xml:space="preserve">15% </t>
        </r>
        <r>
          <rPr>
            <i/>
            <sz val="10"/>
            <color indexed="81"/>
            <rFont val="Arial Nova"/>
            <family val="2"/>
          </rPr>
          <t xml:space="preserve">del Salario Base
4 trienios - de 12 años a 14 años en la empresa - Antigüedad = </t>
        </r>
        <r>
          <rPr>
            <b/>
            <i/>
            <sz val="10"/>
            <color indexed="81"/>
            <rFont val="Arial Nova"/>
            <family val="2"/>
          </rPr>
          <t>20%</t>
        </r>
        <r>
          <rPr>
            <i/>
            <sz val="10"/>
            <color indexed="81"/>
            <rFont val="Arial Nova"/>
            <family val="2"/>
          </rPr>
          <t xml:space="preserve"> del Salario Base
5 trienios - de 15 años a 17 años en la empresa - Antigüedad = </t>
        </r>
        <r>
          <rPr>
            <b/>
            <i/>
            <sz val="10"/>
            <color indexed="81"/>
            <rFont val="Arial Nova"/>
            <family val="2"/>
          </rPr>
          <t>25%</t>
        </r>
        <r>
          <rPr>
            <i/>
            <sz val="10"/>
            <color indexed="81"/>
            <rFont val="Arial Nova"/>
            <family val="2"/>
          </rPr>
          <t xml:space="preserve"> del Salario Base
6 trienios - de 18 años a 20 años en la empresa - Antigüedad = </t>
        </r>
        <r>
          <rPr>
            <b/>
            <i/>
            <sz val="10"/>
            <color indexed="81"/>
            <rFont val="Arial Nova"/>
            <family val="2"/>
          </rPr>
          <t>35%</t>
        </r>
        <r>
          <rPr>
            <i/>
            <sz val="10"/>
            <color indexed="81"/>
            <rFont val="Arial Nova"/>
            <family val="2"/>
          </rPr>
          <t xml:space="preserve"> del Salario Base
7 trienios - de 21 años a 23 años en la empresa - Antigüedad = </t>
        </r>
        <r>
          <rPr>
            <b/>
            <i/>
            <sz val="10"/>
            <color indexed="81"/>
            <rFont val="Arial Nova"/>
            <family val="2"/>
          </rPr>
          <t>45%</t>
        </r>
        <r>
          <rPr>
            <i/>
            <sz val="10"/>
            <color indexed="81"/>
            <rFont val="Arial Nova"/>
            <family val="2"/>
          </rPr>
          <t xml:space="preserve"> del Salario Base
8 trienios - de 24 años a 26 años en la empresa - Antigüedad = </t>
        </r>
        <r>
          <rPr>
            <b/>
            <i/>
            <sz val="10"/>
            <color indexed="81"/>
            <rFont val="Arial Nova"/>
            <family val="2"/>
          </rPr>
          <t>55%</t>
        </r>
        <r>
          <rPr>
            <i/>
            <sz val="10"/>
            <color indexed="81"/>
            <rFont val="Arial Nova"/>
            <family val="2"/>
          </rPr>
          <t xml:space="preserve"> del Salario Base
9 trienios - de 27 años o más en la empresa - Antigüedad = </t>
        </r>
        <r>
          <rPr>
            <b/>
            <i/>
            <sz val="10"/>
            <color indexed="81"/>
            <rFont val="Arial Nova"/>
            <family val="2"/>
          </rPr>
          <t>60%</t>
        </r>
        <r>
          <rPr>
            <i/>
            <sz val="10"/>
            <color indexed="81"/>
            <rFont val="Arial Nova"/>
            <family val="2"/>
          </rPr>
          <t xml:space="preserve"> del Salario Base </t>
        </r>
        <r>
          <rPr>
            <b/>
            <i/>
            <sz val="10"/>
            <color indexed="81"/>
            <rFont val="Tahoma"/>
            <family val="2"/>
          </rPr>
          <t xml:space="preserve">
</t>
        </r>
        <r>
          <rPr>
            <sz val="9"/>
            <color indexed="81"/>
            <rFont val="Tahoma"/>
            <family val="2"/>
          </rPr>
          <t xml:space="preserve">
</t>
        </r>
        <r>
          <rPr>
            <i/>
            <sz val="10"/>
            <color indexed="81"/>
            <rFont val="Arial Nova"/>
            <family val="2"/>
          </rPr>
          <t>Este concepto COTIZA y TRIBUTA (se les aplica los % de cotización y el % de IRPF).</t>
        </r>
      </text>
    </comment>
    <comment ref="A24" authorId="0" shapeId="0" xr:uid="{F9EE6B7D-8370-4546-869B-30B3FD9ECEDF}">
      <text>
        <r>
          <rPr>
            <b/>
            <i/>
            <sz val="10"/>
            <color indexed="81"/>
            <rFont val="Arial Nova"/>
            <family val="2"/>
          </rPr>
          <t xml:space="preserve">
CONSOLIDADOS = COMPLEMENTOS GARANTIZOS QUE NO ABSORBEN NADA</t>
        </r>
        <r>
          <rPr>
            <i/>
            <sz val="10"/>
            <color indexed="81"/>
            <rFont val="Arial Nova"/>
            <family val="2"/>
          </rPr>
          <t xml:space="preserve">
Complementos GARANTIZADOS, bien por convenios o acuerdos anteriores que operan en 14 pagas, y no pueden absorber nada.
Este concepto COTIZA y TRIBUTA (se les aplica los % de cotización y el % de IRPF).
Ejemplo: </t>
        </r>
        <r>
          <rPr>
            <b/>
            <i/>
            <sz val="10"/>
            <color indexed="81"/>
            <rFont val="Arial Nova"/>
            <family val="2"/>
          </rPr>
          <t>Antigüedad Consolidada</t>
        </r>
        <r>
          <rPr>
            <i/>
            <sz val="10"/>
            <color indexed="81"/>
            <rFont val="Arial Nova"/>
            <family val="2"/>
          </rPr>
          <t xml:space="preserve"> o </t>
        </r>
        <r>
          <rPr>
            <b/>
            <i/>
            <sz val="10"/>
            <color indexed="81"/>
            <rFont val="Arial Nova"/>
            <family val="2"/>
          </rPr>
          <t xml:space="preserve">Complemento Consolidado
</t>
        </r>
        <r>
          <rPr>
            <i/>
            <sz val="10"/>
            <color indexed="81"/>
            <rFont val="Arial Nova"/>
            <family val="2"/>
          </rPr>
          <t xml:space="preserve">Las personas que vienen del metal, al pasar al convenio de informática, obtuvieron una antigüedad consolidada que era igual a la antigüedad generada por el convenio del metal hasta 2009, pasando a generar nuevos trienios del convenio de informática desde el 2009.
</t>
        </r>
      </text>
    </comment>
    <comment ref="A25" authorId="0" shapeId="0" xr:uid="{00000000-0006-0000-0000-00000E000000}">
      <text>
        <r>
          <rPr>
            <i/>
            <sz val="10"/>
            <color indexed="81"/>
            <rFont val="Arial Nova"/>
            <family val="2"/>
          </rPr>
          <t xml:space="preserve">
</t>
        </r>
        <r>
          <rPr>
            <b/>
            <i/>
            <sz val="10"/>
            <color indexed="81"/>
            <rFont val="Arial Nova"/>
            <family val="2"/>
          </rPr>
          <t>COMPLEMENTO ABSORBIBLE O COMPLEMENTO PERSONAL ABSORBIBLE</t>
        </r>
        <r>
          <rPr>
            <i/>
            <sz val="10"/>
            <color indexed="81"/>
            <rFont val="Arial Nova"/>
            <family val="2"/>
          </rPr>
          <t xml:space="preserve">
Concepto salarial que disminuye en la misma proporción que aumentan otros conceptos como la antigüedad, el salario base o el plus convenio.
Si NO tienes complemento personal absorbible en tu nómina selecciona la opción en blanco del desplegable.
Si tienes un complemento personal absorbible seleccionalo e indica su importe.</t>
        </r>
        <r>
          <rPr>
            <i/>
            <sz val="10"/>
            <color indexed="81"/>
            <rFont val="Tahoma"/>
            <family val="2"/>
          </rPr>
          <t xml:space="preserve">
Este concepto COTIZA y TRIBUTA (se les aplica los % de cotización y el % de IRPF).</t>
        </r>
      </text>
    </comment>
    <comment ref="A26" authorId="0" shapeId="0" xr:uid="{EDEB2414-DD61-41EC-85A8-A43A91AAF880}">
      <text>
        <r>
          <rPr>
            <b/>
            <i/>
            <sz val="10"/>
            <color indexed="81"/>
            <rFont val="Arial Nova"/>
            <family val="2"/>
          </rPr>
          <t xml:space="preserve">
COMPLEMENTOS QUE SOLO PUEDEN ABSORBER TRIENIOS</t>
        </r>
        <r>
          <rPr>
            <i/>
            <sz val="10"/>
            <color indexed="81"/>
            <rFont val="Arial Nova"/>
            <family val="2"/>
          </rPr>
          <t xml:space="preserve">
Complementos que únicamente absorben aumentos por cambio de trienio NO pudiendo absorber subidas salariales de tablas ni lo que aumenta la antigüedad por haber aumentado el salario base sobre el que se calcula.
Este concepto COTIZA y TRIBUTA (se les aplica los % de cotización y el % de IRPF).
Ejemplo: </t>
        </r>
        <r>
          <rPr>
            <b/>
            <i/>
            <sz val="10"/>
            <color indexed="81"/>
            <rFont val="Arial Nova"/>
            <family val="2"/>
          </rPr>
          <t xml:space="preserve">Complemento Salarial Pactado
</t>
        </r>
        <r>
          <rPr>
            <i/>
            <sz val="10"/>
            <color indexed="81"/>
            <rFont val="Arial Nova"/>
            <family val="2"/>
          </rPr>
          <t xml:space="preserve">
</t>
        </r>
      </text>
    </comment>
    <comment ref="A27" authorId="0" shapeId="0" xr:uid="{6819C687-64EB-4249-B189-40FD79462FE6}">
      <text>
        <r>
          <rPr>
            <b/>
            <i/>
            <sz val="10"/>
            <color indexed="81"/>
            <rFont val="Arial Nova"/>
            <family val="2"/>
          </rPr>
          <t xml:space="preserve">
COMPLEMENTOS QUE SOLO PUEDEN ABSORBER SUBIDA DE TABLAS SALARIALES</t>
        </r>
        <r>
          <rPr>
            <i/>
            <sz val="10"/>
            <color indexed="81"/>
            <rFont val="Arial Nova"/>
            <family val="2"/>
          </rPr>
          <t xml:space="preserve">
Complementos que únicamente absorben aumentos por subida de tablas y no pueden absorber ninguna subida de antigüedad, ni de generación de trienios ni subidas en salario base o plus convenio por cambio de categoría.
Este concepto COTIZA y TRIBUTA (se les aplica los % de cotización y el % de IRPF).
Ejemplo: </t>
        </r>
        <r>
          <rPr>
            <b/>
            <i/>
            <sz val="10"/>
            <color indexed="81"/>
            <rFont val="Arial Nova"/>
            <family val="2"/>
          </rPr>
          <t xml:space="preserve">
</t>
        </r>
        <r>
          <rPr>
            <i/>
            <sz val="10"/>
            <color indexed="81"/>
            <rFont val="Arial Nova"/>
            <family val="2"/>
          </rPr>
          <t xml:space="preserve">
</t>
        </r>
      </text>
    </comment>
    <comment ref="A28" authorId="0" shapeId="0" xr:uid="{ED394C2C-3A38-4523-A289-EBD07D95B691}">
      <text>
        <r>
          <rPr>
            <i/>
            <sz val="10"/>
            <color indexed="81"/>
            <rFont val="Arial Nova"/>
            <family val="2"/>
          </rPr>
          <t xml:space="preserve">
</t>
        </r>
        <r>
          <rPr>
            <b/>
            <i/>
            <sz val="10"/>
            <color indexed="81"/>
            <rFont val="Arial Nova"/>
            <family val="2"/>
          </rPr>
          <t>PRORRATA PAGAS EXTRAORDINARIAS</t>
        </r>
        <r>
          <rPr>
            <i/>
            <sz val="10"/>
            <color indexed="81"/>
            <rFont val="Arial Nova"/>
            <family val="2"/>
          </rPr>
          <t xml:space="preserve">
Este concepto aparece si cobras todos los meses lo mismo, porque la paga de verano y la paga de navidad las tienes prorrateadas mes a mes, donde cada més se añade proporcionalmente una parte de esas 2 pagas extraordinarias. Si este concepto no está en tu nómina, es porque tienes 2 pagas extraordinarias con sus respectivas nóminas de pagas extraordinarias que cobras en verano y en navidad.
Las pagas extraordinarias incluyen: Salario Base, Ex Salario Base, Plus Convenio, Ex Plus Convenio, Antigüedad y Complemento Absorbible que son los conceptos con 14 pagas.
El prorrateo de las Pagas Extraordinarias COTIZA y TRIBUTA (se les aplica los % de cotización y el % de IRPF).
</t>
        </r>
        <r>
          <rPr>
            <b/>
            <i/>
            <sz val="10"/>
            <color indexed="81"/>
            <rFont val="Arial Nova"/>
            <family val="2"/>
          </rPr>
          <t>Nota sobre las cotizaciones para quien cobra en 14 pagas:</t>
        </r>
        <r>
          <rPr>
            <i/>
            <sz val="10"/>
            <color indexed="81"/>
            <rFont val="Arial Nova"/>
            <family val="2"/>
          </rPr>
          <t xml:space="preserve">
En las nóminas de pagas extra verás que TRIBUTAN (se les aplica el % de IRPF) pero no verás que COTIZAN (no se les aplica ningún % de cotización a la Seguridad Social).
Eso no quiere decir que NO coticen, las pagas extraordinarias SI cotizan, pero cotizan de manera prorrateada, en cada una de las nóminas "ordinarias" porque la Seguridad Social trabaja siempre sobre 12 meses, aunque cobremos en 14 pagas.
En las nóminas ordinarias de alguien que cobra en 14 pagas, la base de cotización de contingencias comunes es superior a la suma de las conceptos porque incluye la parte proporcional de las pagas extraordinarias.
</t>
        </r>
      </text>
    </comment>
    <comment ref="A29" authorId="0" shapeId="0" xr:uid="{E1D02B90-BAB7-432D-963E-74333BE51F48}">
      <text>
        <r>
          <rPr>
            <i/>
            <sz val="10"/>
            <color indexed="81"/>
            <rFont val="Arial Nova"/>
            <family val="2"/>
          </rPr>
          <t xml:space="preserve">
</t>
        </r>
        <r>
          <rPr>
            <b/>
            <i/>
            <sz val="10"/>
            <color indexed="81"/>
            <rFont val="Arial Nova"/>
            <family val="2"/>
          </rPr>
          <t xml:space="preserve">TELETRABAJO </t>
        </r>
        <r>
          <rPr>
            <i/>
            <sz val="10"/>
            <color indexed="81"/>
            <rFont val="Arial Nova"/>
            <family val="2"/>
          </rPr>
          <t xml:space="preserve">(Artículo 41 del Convenio Sectorial)
Se establecen </t>
        </r>
        <r>
          <rPr>
            <b/>
            <i/>
            <sz val="10"/>
            <color indexed="81"/>
            <rFont val="Arial Nova"/>
            <family val="2"/>
          </rPr>
          <t>17€ brutos mensuales</t>
        </r>
        <r>
          <rPr>
            <i/>
            <sz val="10"/>
            <color indexed="81"/>
            <rFont val="Arial Nova"/>
            <family val="2"/>
          </rPr>
          <t xml:space="preserve"> en materia de abono y compensación de gastos, con naturaleza extrasalarial, no compensable ni absorbible por ningún otro concepto, esta cantidad compensa a la persona trabajadora por todos los conceptos de gastos vinculados al desarrollo de trabajo a distancia (suministros, agua, utilización de espacios, etc.)
</t>
        </r>
        <r>
          <rPr>
            <b/>
            <i/>
            <sz val="10"/>
            <color indexed="81"/>
            <rFont val="Arial Nova"/>
            <family val="2"/>
          </rPr>
          <t>Cuando se trabaje en esta modalidad al 100%,</t>
        </r>
        <r>
          <rPr>
            <i/>
            <sz val="10"/>
            <color indexed="81"/>
            <rFont val="Arial Nova"/>
            <family val="2"/>
          </rPr>
          <t xml:space="preserve"> o en su proporcionalidad.</t>
        </r>
        <r>
          <rPr>
            <sz val="9"/>
            <color indexed="81"/>
            <rFont val="Tahoma"/>
            <family val="2"/>
          </rPr>
          <t xml:space="preserve">
</t>
        </r>
        <r>
          <rPr>
            <i/>
            <sz val="10"/>
            <color indexed="81"/>
            <rFont val="Arial Nova"/>
            <family val="2"/>
          </rPr>
          <t xml:space="preserve">Este concepto COTIZA y TRIBUTA (se les aplica los % de cotización y el % de IRPF).
</t>
        </r>
      </text>
    </comment>
    <comment ref="A30" authorId="0" shapeId="0" xr:uid="{00280F35-FB2C-4E60-8C9B-457B7BD4C64B}">
      <text>
        <r>
          <rPr>
            <i/>
            <sz val="10"/>
            <color indexed="81"/>
            <rFont val="Arial Nova"/>
            <family val="2"/>
          </rPr>
          <t xml:space="preserve">
</t>
        </r>
        <r>
          <rPr>
            <b/>
            <i/>
            <sz val="10"/>
            <color indexed="81"/>
            <rFont val="Arial Nova"/>
            <family val="2"/>
          </rPr>
          <t>OTROS CONCEPTOS SALARIALES que se tienen en cuenta en la PSI (Política Salarial Individualizada)</t>
        </r>
        <r>
          <rPr>
            <i/>
            <sz val="10"/>
            <color indexed="81"/>
            <rFont val="Arial Nova"/>
            <family val="2"/>
          </rPr>
          <t xml:space="preserve">
Son conceptos salariales que SI forman parte de la PSI por ser complementos garantizados o consolidados.
Si en tu nómina aparecen estos conceptos salariales, súmalos e introduce el importe total.
En la pestaña de CONCEPTOS encontrarás los posibles Conceptos Salariales que pueden aparecer en tu nómina.
Los conceptos que debes introducir aquí:
   - NO se ven afectados por las subidas salariales de tablas ni por el aumento de la antigüedad.
   - NO absorben ninguna subida, ni de tablas ni de antigüedad.
   - </t>
        </r>
        <r>
          <rPr>
            <b/>
            <i/>
            <u/>
            <sz val="10"/>
            <color indexed="81"/>
            <rFont val="Arial Nova"/>
            <family val="2"/>
          </rPr>
          <t>COTIZAN</t>
        </r>
        <r>
          <rPr>
            <i/>
            <sz val="10"/>
            <color indexed="81"/>
            <rFont val="Arial Nova"/>
            <family val="2"/>
          </rPr>
          <t xml:space="preserve"> y </t>
        </r>
        <r>
          <rPr>
            <b/>
            <i/>
            <u/>
            <sz val="10"/>
            <color indexed="81"/>
            <rFont val="Arial Nova"/>
            <family val="2"/>
          </rPr>
          <t>TRIBUTAN</t>
        </r>
        <r>
          <rPr>
            <i/>
            <sz val="10"/>
            <color indexed="81"/>
            <rFont val="Arial Nova"/>
            <family val="2"/>
          </rPr>
          <t xml:space="preserve"> (se les aplica el % de cotización y el % de IRPF).
   - SI SE TIENEN EN CUENTA EN EL CÁLCULO DE INDEMNIZACIÓN POR DESPIDO.
Ejemplos:
  - </t>
        </r>
        <r>
          <rPr>
            <b/>
            <i/>
            <sz val="10"/>
            <color indexed="81"/>
            <rFont val="Arial Nova"/>
            <family val="2"/>
          </rPr>
          <t>Cpto. Garant. (antig. PT)</t>
        </r>
        <r>
          <rPr>
            <i/>
            <sz val="10"/>
            <color indexed="81"/>
            <rFont val="Arial Nova"/>
            <family val="2"/>
          </rPr>
          <t xml:space="preserve"> de 107,50 € para el colectivo TES  
  - </t>
        </r>
        <r>
          <rPr>
            <b/>
            <i/>
            <sz val="10"/>
            <color indexed="81"/>
            <rFont val="Arial Nova"/>
            <family val="2"/>
          </rPr>
          <t xml:space="preserve">Antigüedad Consolidada </t>
        </r>
        <r>
          <rPr>
            <i/>
            <sz val="10"/>
            <color indexed="81"/>
            <rFont val="Arial Nova"/>
            <family val="2"/>
          </rPr>
          <t xml:space="preserve">del colectivo proveniente del convenio del metal  
</t>
        </r>
      </text>
    </comment>
    <comment ref="A31" authorId="0" shapeId="0" xr:uid="{7FD7CC77-C6A0-4050-B7A5-6400230C7EC2}">
      <text>
        <r>
          <rPr>
            <i/>
            <sz val="10"/>
            <color indexed="81"/>
            <rFont val="Arial Nova"/>
            <family val="2"/>
          </rPr>
          <t xml:space="preserve">
</t>
        </r>
        <r>
          <rPr>
            <b/>
            <i/>
            <sz val="10"/>
            <color indexed="81"/>
            <rFont val="Arial Nova"/>
            <family val="2"/>
          </rPr>
          <t xml:space="preserve">OTROS CONCEPTOS SALARIALES que NO se tienen en cuenta en la PSI (Política Salarial Individualizada)
</t>
        </r>
        <r>
          <rPr>
            <i/>
            <sz val="10"/>
            <color indexed="81"/>
            <rFont val="Arial Nova"/>
            <family val="2"/>
          </rPr>
          <t xml:space="preserve">
Son conceptos salariales que NO forman parte de la PSI por ser ayudas, labores puntuales como guardias, gratificaciones, bonificaciones, variables por alcanzar objetivos... 
Si en tu nómina aparecen estos conceptos salariales, súmalos e introduce el importe total.
En la pestaña de CONCEPTOS encontrarás los posibles Conceptos Salariales que pueden aparecer en tu nómina.
Los conceptos que debes introducir aquí:
   - NO se ven afectados por las subidas salariales de tablas ni por el aumento de la antigüedad.
   - NO absorben ninguna subida, ni de tablas ni de antigüedad.
   - </t>
        </r>
        <r>
          <rPr>
            <b/>
            <i/>
            <u/>
            <sz val="10"/>
            <color indexed="81"/>
            <rFont val="Arial Nova"/>
            <family val="2"/>
          </rPr>
          <t>COTIZAN</t>
        </r>
        <r>
          <rPr>
            <i/>
            <sz val="10"/>
            <color indexed="81"/>
            <rFont val="Arial Nova"/>
            <family val="2"/>
          </rPr>
          <t xml:space="preserve"> y </t>
        </r>
        <r>
          <rPr>
            <b/>
            <i/>
            <u/>
            <sz val="10"/>
            <color indexed="81"/>
            <rFont val="Arial Nova"/>
            <family val="2"/>
          </rPr>
          <t>TRIBUTAN</t>
        </r>
        <r>
          <rPr>
            <i/>
            <sz val="10"/>
            <color indexed="81"/>
            <rFont val="Arial Nova"/>
            <family val="2"/>
          </rPr>
          <t xml:space="preserve"> (se les aplica el % de cotización y el % de IRPF).
   - NO SE TIENEN EN CUENTA EN EL CÁLCULO DE INDEMNIZACIÓN POR DESPIDO.
Ejemplos:
  - Ayuda Personas Con Discapacidad</t>
        </r>
        <r>
          <rPr>
            <b/>
            <i/>
            <sz val="10"/>
            <color indexed="81"/>
            <rFont val="Arial Nova"/>
            <family val="2"/>
          </rPr>
          <t xml:space="preserve"> </t>
        </r>
        <r>
          <rPr>
            <i/>
            <sz val="10"/>
            <color indexed="81"/>
            <rFont val="Arial Nova"/>
            <family val="2"/>
          </rPr>
          <t xml:space="preserve">de 291,67 € para el colectivo de Tecnocom
  - Guardias
  - Intervenciones
  - Disponibilidades
  - Gratificaciones
</t>
        </r>
      </text>
    </comment>
    <comment ref="A32" authorId="0" shapeId="0" xr:uid="{F3432E9E-9A82-4C26-B486-6CC386570C10}">
      <text>
        <r>
          <rPr>
            <i/>
            <sz val="10"/>
            <color indexed="81"/>
            <rFont val="Arial Nova"/>
            <family val="2"/>
          </rPr>
          <t xml:space="preserve">
</t>
        </r>
        <r>
          <rPr>
            <b/>
            <i/>
            <sz val="10"/>
            <color indexed="81"/>
            <rFont val="Arial Nova"/>
            <family val="2"/>
          </rPr>
          <t xml:space="preserve">OTROS CONCEPTOS EXTRASALARIALES (que NO se tienen en cuenta en la PSI - Política Salarial Individualizada)
</t>
        </r>
        <r>
          <rPr>
            <i/>
            <sz val="10"/>
            <color indexed="81"/>
            <rFont val="Arial Nova"/>
            <family val="2"/>
          </rPr>
          <t xml:space="preserve">
Si en tu nómina aparecen otros conceptos EXTRAsalariales, súmalos e introduce el importe total.
En la pestaña de CONCEPTOS encontrarás los posibles Conceptos EXTRASalariales que pueden aparecer en tu nómina.
Se componen fundamentalmente de </t>
        </r>
        <r>
          <rPr>
            <b/>
            <i/>
            <sz val="10"/>
            <color indexed="81"/>
            <rFont val="Arial Nova"/>
            <family val="2"/>
          </rPr>
          <t>Gastos</t>
        </r>
        <r>
          <rPr>
            <i/>
            <sz val="10"/>
            <color indexed="81"/>
            <rFont val="Arial Nova"/>
            <family val="2"/>
          </rPr>
          <t xml:space="preserve"> que la persona trabajadora ha tenido que adelantar para realizar su labor (kilometraje, dietas, ...) o de </t>
        </r>
        <r>
          <rPr>
            <b/>
            <i/>
            <sz val="10"/>
            <color indexed="81"/>
            <rFont val="Arial Nova"/>
            <family val="2"/>
          </rPr>
          <t>Indemnizaciones</t>
        </r>
        <r>
          <rPr>
            <i/>
            <sz val="10"/>
            <color indexed="81"/>
            <rFont val="Arial Nova"/>
            <family val="2"/>
          </rPr>
          <t xml:space="preserve"> por traslados, despidos...
Los conceptos que debes introducir aquí:
   - NO se ven afectados por las subidas salariales de tablas ni por el aumento de la antigüedad.
   - NO absorben ninguna subida, ni de tablas ni de antigüedad.
   - COTIZAN </t>
        </r>
        <r>
          <rPr>
            <b/>
            <i/>
            <sz val="10"/>
            <color indexed="81"/>
            <rFont val="Arial Nova"/>
            <family val="2"/>
          </rPr>
          <t>pero NO TRIBUTAN</t>
        </r>
        <r>
          <rPr>
            <i/>
            <sz val="10"/>
            <color indexed="81"/>
            <rFont val="Arial Nova"/>
            <family val="2"/>
          </rPr>
          <t xml:space="preserve"> (se les aplica el % de cotización y NO el % de IRPF).
   - NO SE TIENEN EN CUENTA PARA EL CÁLCULO DE INDEMNIZACIONES
No sumes el Seg. Accidente Emp. que es un concepto extrasalarial porque ya viene incluído al final de la nómina.
</t>
        </r>
        <r>
          <rPr>
            <sz val="9"/>
            <color indexed="81"/>
            <rFont val="Tahoma"/>
            <family val="2"/>
          </rPr>
          <t xml:space="preserve">
</t>
        </r>
      </text>
    </comment>
    <comment ref="A33" authorId="0" shapeId="0" xr:uid="{65BEBAE1-0F6C-406D-AFFE-313F2E3A6435}">
      <text>
        <r>
          <rPr>
            <b/>
            <i/>
            <sz val="10"/>
            <color indexed="81"/>
            <rFont val="Arial Nova"/>
            <family val="2"/>
          </rPr>
          <t xml:space="preserve">
SEGURO MÉDICO, GUARDERÍA... (Importe Negativo)
</t>
        </r>
        <r>
          <rPr>
            <i/>
            <sz val="10"/>
            <color indexed="81"/>
            <rFont val="Arial Nova"/>
            <family val="2"/>
          </rPr>
          <t xml:space="preserve">
Son servicios que contratamos a través de la empresa y que pagamos directamente en la nómina, por eso aparecen con importes negativos.
Normalmente tienen benefios fiscales por lo que están EXENTOS DE TRIBUTAR EN PARTE O EN SU TOTALIDAD.
</t>
        </r>
        <r>
          <rPr>
            <b/>
            <i/>
            <sz val="10"/>
            <color indexed="81"/>
            <rFont val="Arial Nova"/>
            <family val="2"/>
          </rPr>
          <t>Ejemplo de Exención enSeguros médicos</t>
        </r>
        <r>
          <rPr>
            <i/>
            <sz val="10"/>
            <color indexed="81"/>
            <rFont val="Arial Nova"/>
            <family val="2"/>
          </rPr>
          <t xml:space="preserve">
  - Trabajador/a exentos hasta 500€/año o hasta 1.500 si es una persona con discapacidad.
  - Cónyuge del trabajaro/a extento hasta 500€/año o hasta 1.500 si es una persona con discapacidad.
  - Descendientes menores de 25 años que convivan con el trabajador/a hasta 500€/año por descendiente o hasta 1.500 si es descendiente con discapacidad..
</t>
        </r>
      </text>
    </comment>
    <comment ref="A35" authorId="0" shapeId="0" xr:uid="{9CC4B26C-D827-4112-9046-C3BD46E47239}">
      <text>
        <r>
          <rPr>
            <i/>
            <sz val="10"/>
            <color indexed="81"/>
            <rFont val="Arial Nova"/>
            <family val="2"/>
          </rPr>
          <t xml:space="preserve">
</t>
        </r>
        <r>
          <rPr>
            <b/>
            <i/>
            <sz val="10"/>
            <color indexed="81"/>
            <rFont val="Arial Nova"/>
            <family val="2"/>
          </rPr>
          <t>COTIZACIÓN A LA SEGURIDAD SOCIAL POR CONTINGENCIAS COMUNES</t>
        </r>
        <r>
          <rPr>
            <i/>
            <sz val="10"/>
            <color indexed="81"/>
            <rFont val="Arial Nova"/>
            <family val="2"/>
          </rPr>
          <t xml:space="preserve">
Se destinan a cubrir las situaciones de incapacidad temporal o permanente derivadas de enfermedad común, maternidad, paternidad, jubilación y accidente no laboral. 
--------------------------------------------------------------------------------------------------------------------------------------------------------------------------------
</t>
        </r>
        <r>
          <rPr>
            <b/>
            <i/>
            <sz val="10"/>
            <color indexed="81"/>
            <rFont val="Arial Nova"/>
            <family val="2"/>
          </rPr>
          <t xml:space="preserve">BCCC (Base de Cotización por Contingencias Comunes) &gt;&gt; Cotizamos por TODOS LOS CONCEPTOS
</t>
        </r>
        <r>
          <rPr>
            <i/>
            <sz val="10"/>
            <color indexed="81"/>
            <rFont val="Arial Nova"/>
            <family val="2"/>
          </rPr>
          <t xml:space="preserve">Es la suma de 
       todos los DEVENGOS POSITIVOS
      + Seg. Accidente Emp.
      + la parte proporcional de las pagas extraordinarias (aunque cobremos en 14 pagas)
--------------------------------------------------------------------------------------------------------------------------------------------------------------------------------
Se cobre en 12 pagas o en 14 pagas, la cotización se realiza en 12 pagas porque la Seguridad Social trabaja en 12 meses. 
Es por ello, que si se cobra en 14 pagas, en la nómina de paga extra no aparece la cotización, porque ya se ha estado cotizando en el resto de pagas ordinarias mes a mes.
El 24,18% es a cargo de empresa y el 4,82% del trabajador (4,70% de contingencias comunes + 0,12% del MEI - Mecanismo de Equidad Intergeneracional)
--------------------------------------------------------------------------------------------------------------------------------------------------------------------------------
</t>
        </r>
        <r>
          <rPr>
            <b/>
            <i/>
            <sz val="10"/>
            <color indexed="81"/>
            <rFont val="Arial Nova"/>
            <family val="2"/>
          </rPr>
          <t>BCCP (Base de Cotización por Contingencias Profesionales) = BCCC + Horas Extraordinarias</t>
        </r>
        <r>
          <rPr>
            <i/>
            <sz val="10"/>
            <color indexed="81"/>
            <rFont val="Arial Nova"/>
            <family val="2"/>
          </rPr>
          <t xml:space="preserve">
--------------------------------------------------------------------------------------------------------------------------------------------------------------------------------
</t>
        </r>
      </text>
    </comment>
    <comment ref="A36" authorId="0" shapeId="0" xr:uid="{95F93900-1531-4DA0-95C6-F98627C158D4}">
      <text>
        <r>
          <rPr>
            <i/>
            <sz val="10"/>
            <color indexed="81"/>
            <rFont val="Arial Nova"/>
            <family val="2"/>
          </rPr>
          <t xml:space="preserve">
</t>
        </r>
        <r>
          <rPr>
            <b/>
            <i/>
            <sz val="10"/>
            <color indexed="81"/>
            <rFont val="Arial Nova"/>
            <family val="2"/>
          </rPr>
          <t>COTIZACIÓN A LA SEGURIDAD SOCIAL POR DESEMPLEO Y FORMACIÓN PROFESIONAL</t>
        </r>
        <r>
          <rPr>
            <i/>
            <sz val="10"/>
            <color indexed="81"/>
            <rFont val="Arial Nova"/>
            <family val="2"/>
          </rPr>
          <t xml:space="preserve">
</t>
        </r>
        <r>
          <rPr>
            <b/>
            <i/>
            <sz val="10"/>
            <color indexed="81"/>
            <rFont val="Arial Nova"/>
            <family val="2"/>
          </rPr>
          <t>Desempleo</t>
        </r>
        <r>
          <rPr>
            <i/>
            <sz val="10"/>
            <color indexed="81"/>
            <rFont val="Arial Nova"/>
            <family val="2"/>
          </rPr>
          <t xml:space="preserve"> = Es la recaudación que está destinada para la cobertura de desempleo, para las prestaciones y subsidios de los trabajadores y trabajadoras desempleadas. El empresario cotiza el 5,50% y el trabajador el 1,55% 
</t>
        </r>
        <r>
          <rPr>
            <b/>
            <i/>
            <sz val="10"/>
            <color indexed="81"/>
            <rFont val="Arial Nova"/>
            <family val="2"/>
          </rPr>
          <t>FP</t>
        </r>
        <r>
          <rPr>
            <i/>
            <sz val="10"/>
            <color indexed="81"/>
            <rFont val="Arial Nova"/>
            <family val="2"/>
          </rPr>
          <t xml:space="preserve"> = Formación Profesional: Destinada a la formación y reciclaje de los trabajadores y trabajadoras. Cotiza al 0,60% la empresa y el 0,10% la persona trabajadora. 
</t>
        </r>
        <r>
          <rPr>
            <b/>
            <i/>
            <sz val="10"/>
            <color indexed="81"/>
            <rFont val="Arial Nova"/>
            <family val="2"/>
          </rPr>
          <t>Total</t>
        </r>
        <r>
          <rPr>
            <i/>
            <sz val="10"/>
            <color indexed="81"/>
            <rFont val="Arial Nova"/>
            <family val="2"/>
          </rPr>
          <t xml:space="preserve"> parte trabajadora = </t>
        </r>
        <r>
          <rPr>
            <b/>
            <i/>
            <sz val="10"/>
            <color indexed="81"/>
            <rFont val="Arial Nova"/>
            <family val="2"/>
          </rPr>
          <t>1,65%</t>
        </r>
        <r>
          <rPr>
            <sz val="9"/>
            <color indexed="81"/>
            <rFont val="Tahoma"/>
            <family val="2"/>
          </rPr>
          <t xml:space="preserve">
</t>
        </r>
        <r>
          <rPr>
            <sz val="10"/>
            <color indexed="81"/>
            <rFont val="Arial Nova"/>
            <family val="2"/>
          </rPr>
          <t xml:space="preserve">
--------------------------------------------------------------------------------------------------------------------------------------------------------------------------------
</t>
        </r>
        <r>
          <rPr>
            <b/>
            <i/>
            <sz val="10"/>
            <color indexed="81"/>
            <rFont val="Arial Nova"/>
            <family val="2"/>
          </rPr>
          <t>BCCC (Base de Cotización por Contingencias Comunes) &gt;&gt; Cotizamos por TODOS LOS CONCEPTOS</t>
        </r>
        <r>
          <rPr>
            <i/>
            <sz val="10"/>
            <color indexed="81"/>
            <rFont val="Arial Nova"/>
            <family val="2"/>
          </rPr>
          <t xml:space="preserve">
Es la suma de 
       todos los DEVENGOS POSITIVOS
      + Seg. Accidente Emp.
      + la parte proporcional de las pagas extraordinarias (aunque cobremos en 14 pagas)
</t>
        </r>
        <r>
          <rPr>
            <b/>
            <i/>
            <sz val="10"/>
            <color indexed="81"/>
            <rFont val="Arial Nova"/>
            <family val="2"/>
          </rPr>
          <t>BCCP (Base de Cotización por Contingencisa Profesionales) = BCCC + Horas Extraordinarias</t>
        </r>
        <r>
          <rPr>
            <sz val="10"/>
            <color indexed="81"/>
            <rFont val="Arial Nova"/>
            <family val="2"/>
          </rPr>
          <t xml:space="preserve">
--------------------------------------------------------------------------------------------------------------------------------------------------------------------------------</t>
        </r>
      </text>
    </comment>
    <comment ref="A37" authorId="0" shapeId="0" xr:uid="{AA42C714-DC6F-4E99-ADFD-4F9F8CCD7DE3}">
      <text>
        <r>
          <rPr>
            <i/>
            <sz val="10"/>
            <color indexed="81"/>
            <rFont val="Arial Nova"/>
            <family val="2"/>
          </rPr>
          <t xml:space="preserve">
</t>
        </r>
        <r>
          <rPr>
            <b/>
            <i/>
            <sz val="10"/>
            <color indexed="81"/>
            <rFont val="Arial Nova"/>
            <family val="2"/>
          </rPr>
          <t>IMPUESTO SOBRE LA RENTA DE LAS PERSONAS FÍSICAS (IRPF)</t>
        </r>
        <r>
          <rPr>
            <i/>
            <sz val="10"/>
            <color indexed="81"/>
            <rFont val="Arial Nova"/>
            <family val="2"/>
          </rPr>
          <t xml:space="preserve">
Es el adelanto que corresponde contribuir en la Declaración de la Renta del año siguiente. El porcentaje de retención en el IRPF es variable. El tipo impositivo del IRPF corresponde a las retribuciones recibidas por rentas del trabajo. Para aplicar el tipo correspondiente, es necesario saber la situación personal (año de nacimiento, grado de discapacidad si procede, si reside en Ceuta y Melilla); la situación familiar (estado civil e ingresos del cónyuge, descendientes y ascendientes) y el tipo del contrato. 
El % de IRPF se aplica sobre la BASE DE TRIBUTACIÓN.
--------------------------------------------------------------------------------------------------------------------------------------------------------------------------------------------
</t>
        </r>
        <r>
          <rPr>
            <b/>
            <i/>
            <sz val="10"/>
            <color indexed="81"/>
            <rFont val="Arial Nova"/>
            <family val="2"/>
          </rPr>
          <t>BASE DE TRIBUTACIÓN</t>
        </r>
        <r>
          <rPr>
            <i/>
            <sz val="10"/>
            <color indexed="81"/>
            <rFont val="Arial Nova"/>
            <family val="2"/>
          </rPr>
          <t xml:space="preserve"> = suma de todos los DEVENGOS positivos y negativos de CONCEPTOS SALARIALES.
 NO INCLUIDOS LOS CONCEPTOS EXTRASALARIALES NI EL SEG. ACCIDENTE EMP.
--------------------------------------------------------------------------------------------------------------------------------------------------------------------------------------------</t>
        </r>
        <r>
          <rPr>
            <sz val="9"/>
            <color indexed="81"/>
            <rFont val="Tahoma"/>
            <family val="2"/>
          </rPr>
          <t xml:space="preserve">
</t>
        </r>
      </text>
    </comment>
    <comment ref="A38" authorId="0" shapeId="0" xr:uid="{95AA418E-0987-46B8-A232-250A4A438709}">
      <text>
        <r>
          <rPr>
            <i/>
            <sz val="10"/>
            <color indexed="81"/>
            <rFont val="Arial Nova"/>
            <family val="2"/>
          </rPr>
          <t xml:space="preserve">------------------------------------------------------------------------------------------------------------------------------------------------------------------------------------------------
</t>
        </r>
        <r>
          <rPr>
            <b/>
            <i/>
            <sz val="10"/>
            <color indexed="81"/>
            <rFont val="Arial Nova"/>
            <family val="2"/>
          </rPr>
          <t>EXENCIONES DE TRIBUTAR SEGÚN HACIENDA</t>
        </r>
        <r>
          <rPr>
            <i/>
            <sz val="10"/>
            <color indexed="81"/>
            <rFont val="Arial Nova"/>
            <family val="2"/>
          </rPr>
          <t xml:space="preserve">
------------------------------------------------------------------------------------------------------------------------------------------------------------------------------------------------
</t>
        </r>
        <r>
          <rPr>
            <b/>
            <i/>
            <sz val="10"/>
            <color indexed="81"/>
            <rFont val="Arial Nova"/>
            <family val="2"/>
          </rPr>
          <t>GASTOS DE LOCOMOCIÓN EXENTOS</t>
        </r>
        <r>
          <rPr>
            <i/>
            <sz val="10"/>
            <color indexed="81"/>
            <rFont val="Arial Nova"/>
            <family val="2"/>
          </rPr>
          <t xml:space="preserve">
 - íntegramente exentos los desplazamientos en transporte público, como taxis
 - </t>
        </r>
        <r>
          <rPr>
            <b/>
            <i/>
            <sz val="10"/>
            <color indexed="81"/>
            <rFont val="Arial Nova"/>
            <family val="2"/>
          </rPr>
          <t xml:space="preserve">exentos hasta 0,26 €/Km </t>
        </r>
        <r>
          <rPr>
            <i/>
            <sz val="10"/>
            <color indexed="81"/>
            <rFont val="Arial Nova"/>
            <family val="2"/>
          </rPr>
          <t xml:space="preserve">cuando el trabajador/a hace uso de su propio vehículo (El convenio sectorial de informática indica que el kilometraje se paga en 2024 a 0,23€/Km, en 2025 a 0,26€/Km, en 2026 a 0,27€/Km y en 2027 a 0,28€/Km, por lo que a partir del 2026 habría que tributar 0,01€/Km realizado si Hacienda no aumenta la cantidad exenta por Km)
</t>
        </r>
        <r>
          <rPr>
            <b/>
            <i/>
            <sz val="10"/>
            <color indexed="81"/>
            <rFont val="Arial Nova"/>
            <family val="2"/>
          </rPr>
          <t>GASTOS DE MANUTENCIÓN Y ESTANCIAS</t>
        </r>
        <r>
          <rPr>
            <i/>
            <sz val="10"/>
            <color indexed="81"/>
            <rFont val="Arial Nova"/>
            <family val="2"/>
          </rPr>
          <t xml:space="preserve">
 - gastos de estancia íntegramente exentos (el hotel para la pernocta)
 - gastos de manutención
      - si hay pernocta y el desplazamiento es en territorio español, exentos hasta 53,34 €/día
      - si hay pernocta y el desplazamiento es en el extranjero, exentos hasta 91,5 €/día
      - si NO hay pernocta y el desplazamiento es en territorio español, </t>
        </r>
        <r>
          <rPr>
            <b/>
            <i/>
            <sz val="10"/>
            <color indexed="81"/>
            <rFont val="Arial Nova"/>
            <family val="2"/>
          </rPr>
          <t>exentos hasta 26,67 €/día</t>
        </r>
        <r>
          <rPr>
            <i/>
            <sz val="10"/>
            <color indexed="81"/>
            <rFont val="Arial Nova"/>
            <family val="2"/>
          </rPr>
          <t xml:space="preserve">
      - si NO hay pernocta y el desplazamiento es en el extranjero, exentos hasta 48,08 €/día
</t>
        </r>
        <r>
          <rPr>
            <b/>
            <i/>
            <sz val="10"/>
            <color indexed="81"/>
            <rFont val="Arial Nova"/>
            <family val="2"/>
          </rPr>
          <t>SEGUROS DE ACCIDENTE LABORAL O RESPONSABILIDAD CIVIL</t>
        </r>
        <r>
          <rPr>
            <i/>
            <sz val="10"/>
            <color indexed="81"/>
            <rFont val="Arial Nova"/>
            <family val="2"/>
          </rPr>
          <t xml:space="preserve">
Las primas o cuotas satisfechas por la empresa en virtud de contrato de seguro de accidente laboral o de responsabilidad civil del trabajador. (El concepto "Seg. Accidente Emp." que aparece en nuestras nóminas está exento)
</t>
        </r>
        <r>
          <rPr>
            <b/>
            <i/>
            <sz val="10"/>
            <color indexed="81"/>
            <rFont val="Arial Nova"/>
            <family val="2"/>
          </rPr>
          <t>SEGUROS DE ENFERMEDAD</t>
        </r>
        <r>
          <rPr>
            <i/>
            <sz val="10"/>
            <color indexed="81"/>
            <rFont val="Arial Nova"/>
            <family val="2"/>
          </rPr>
          <t xml:space="preserve">
Las primas o cuotas satisfechas a entidades aseguradoras para la cobertura de enfermedad cuando se cumplan los siguientes requisitos y límites:
a) Que la cobertura de enfermedad alcance al propio trabajador, pudiendo también alcanzar a su cónyuge y descendientes.
b) Que las primas o cuotas satisfechas </t>
        </r>
        <r>
          <rPr>
            <b/>
            <i/>
            <sz val="10"/>
            <color indexed="81"/>
            <rFont val="Arial Nova"/>
            <family val="2"/>
          </rPr>
          <t>no excedan de 500 euros anuales por cada una de las personas señaladas, o de 1.500 para cada una de ellas que sean personas con discapacidad</t>
        </r>
        <r>
          <rPr>
            <i/>
            <sz val="10"/>
            <color indexed="81"/>
            <rFont val="Arial Nova"/>
            <family val="2"/>
          </rPr>
          <t>. El exceso sobre dicha cuantía constituirá retribución en especie.
------------------------------------------------------------------------------------------------------------------------------------------------------------------------------------------------
Las cantidades que aparecen en el apartado de Retención Especial, son las cantidades no exentas de tributar de los casos anteriores.
Si tenemos contratado un seguro médico para una persona, que nos cuesta por cada persona 780€ al año, tendremos que tributar por la parte que NO está exenta, que es 780-500 = 280€ / 14 = 20 € /paga.
Si la empresa nos pagara una dieta de 30€ sin pernoctar en un desplazamiento en España, tendríamos que tributar por los 3,33€ que no están exentos (30€ - 26,67€).
Si la empresa nos pagara a 0,30€/Km, deberíamos tributar 0,04€/Km.</t>
        </r>
      </text>
    </comment>
    <comment ref="A44" authorId="0" shapeId="0" xr:uid="{803F2348-B217-42D6-AB9F-F05D4674E7BE}">
      <text>
        <r>
          <rPr>
            <b/>
            <i/>
            <sz val="10"/>
            <color indexed="81"/>
            <rFont val="Arial Nova"/>
            <family val="2"/>
          </rPr>
          <t xml:space="preserve">TOTALES
</t>
        </r>
        <r>
          <rPr>
            <i/>
            <sz val="10"/>
            <color indexed="81"/>
            <rFont val="Arial Nova"/>
            <family val="2"/>
          </rPr>
          <t>Es la suma de todos los DEVENGOS (incluidos los devengos negativos)
Es la suma de todos los DESCUENTOS (lo que cotizas a la Seguridad Social y lo que Tributas a Hacienda)
NOTA: El Seg. Accidente Emp. lo percibimos como retribución en especie por eso no se suma a los DEVENGOS, aunque si cotizamos por el pero no tributamos por el.</t>
        </r>
        <r>
          <rPr>
            <b/>
            <i/>
            <sz val="10"/>
            <color indexed="81"/>
            <rFont val="Arial Nova"/>
            <family val="2"/>
          </rPr>
          <t xml:space="preserve">
LÍQUIDO
</t>
        </r>
        <r>
          <rPr>
            <i/>
            <sz val="10"/>
            <color indexed="81"/>
            <rFont val="Arial Nova"/>
            <family val="2"/>
          </rPr>
          <t xml:space="preserve">Líquido a percibir es la cantidad NETA que la persona trabajadora percibirá como salario. 
Es la acción de sumar los devengos menos las deducciones o descuentos, para obtener el salario neto, que es la cantidad que nos ingresan en nuestra cuenta bancaria.
</t>
        </r>
      </text>
    </comment>
    <comment ref="A45" authorId="0" shapeId="0" xr:uid="{46C755DF-D94C-4F12-8190-8EF9D7A8778A}">
      <text>
        <r>
          <rPr>
            <b/>
            <i/>
            <sz val="10"/>
            <color indexed="81"/>
            <rFont val="Arial Nova"/>
            <family val="2"/>
          </rPr>
          <t xml:space="preserve">
SMI (Salario Mínimo Interprofesional)
</t>
        </r>
        <r>
          <rPr>
            <i/>
            <sz val="10"/>
            <color indexed="81"/>
            <rFont val="Arial Nova"/>
            <family val="2"/>
          </rPr>
          <t xml:space="preserve">
Ningún trabajadora o trabajadora puede cobrar menos que el SMI estipulado para el año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Perez Martinez, Maria Carmen</author>
  </authors>
  <commentList>
    <comment ref="A4" authorId="0" shapeId="0" xr:uid="{209BF04C-8B73-476E-8398-DCA87571C3F8}">
      <text>
        <r>
          <rPr>
            <b/>
            <i/>
            <sz val="10"/>
            <color indexed="81"/>
            <rFont val="Arial Nova"/>
            <family val="2"/>
          </rPr>
          <t xml:space="preserve">
EMPRESA
</t>
        </r>
        <r>
          <rPr>
            <i/>
            <sz val="10"/>
            <color indexed="81"/>
            <rFont val="Arial Nova"/>
            <family val="2"/>
          </rPr>
          <t xml:space="preserve">Aquí aparece el nombre de la empresa para la que trabajas
Como por ejemplo:
 - INDRA SOLUCIONES TI (ISTI)
 - INDRA PRODUCCION SW. S.L. (IPS)
 - INDRA BPO S.L.U. (BPO)
 - INDRA GESTIÓN DE USUARIOS,S.L. (IGU)
 - MINSAIT PAYMENT SYSTEMS, S.L. (MPS)
 - INDRA BUSINESS CONSULTING S.L.U. (IBC)
Recuerda que </t>
        </r>
        <r>
          <rPr>
            <b/>
            <i/>
            <sz val="10"/>
            <color indexed="81"/>
            <rFont val="Arial Nova"/>
            <family val="2"/>
          </rPr>
          <t>MINSAIT no es una empresa, es una marca comercial que abarca a muchas personas ubicadas en distintas empresas</t>
        </r>
        <r>
          <rPr>
            <i/>
            <sz val="10"/>
            <color indexed="81"/>
            <rFont val="Arial Nova"/>
            <family val="2"/>
          </rPr>
          <t xml:space="preserve"> de Indra.
</t>
        </r>
        <r>
          <rPr>
            <sz val="9"/>
            <color indexed="81"/>
            <rFont val="Arial Nova"/>
            <family val="2"/>
          </rPr>
          <t xml:space="preserve">
</t>
        </r>
        <r>
          <rPr>
            <b/>
            <i/>
            <sz val="10"/>
            <color indexed="81"/>
            <rFont val="Arial Nova"/>
            <family val="2"/>
          </rPr>
          <t>CIF</t>
        </r>
        <r>
          <rPr>
            <sz val="9"/>
            <color indexed="81"/>
            <rFont val="Arial Nova"/>
            <family val="2"/>
          </rPr>
          <t xml:space="preserve">
</t>
        </r>
        <r>
          <rPr>
            <i/>
            <sz val="10"/>
            <color indexed="81"/>
            <rFont val="Arial Nova"/>
            <family val="2"/>
          </rPr>
          <t>Aquí aparece el CIF de la empresa para la que trabajas</t>
        </r>
        <r>
          <rPr>
            <sz val="9"/>
            <color indexed="81"/>
            <rFont val="Arial Nova"/>
            <family val="2"/>
          </rPr>
          <t xml:space="preserve">
</t>
        </r>
      </text>
    </comment>
    <comment ref="A6" authorId="0" shapeId="0" xr:uid="{A2F73A28-755F-471F-BFC4-1F7C191F9DA5}">
      <text>
        <r>
          <rPr>
            <i/>
            <sz val="10"/>
            <color indexed="81"/>
            <rFont val="Arial Nova"/>
            <family val="2"/>
          </rPr>
          <t xml:space="preserve">
</t>
        </r>
        <r>
          <rPr>
            <b/>
            <i/>
            <sz val="10"/>
            <color indexed="81"/>
            <rFont val="Arial Nova"/>
            <family val="2"/>
          </rPr>
          <t>CENTRO DE TRABAJO</t>
        </r>
        <r>
          <rPr>
            <i/>
            <sz val="10"/>
            <color indexed="81"/>
            <rFont val="Arial Nova"/>
            <family val="2"/>
          </rPr>
          <t xml:space="preserve">
Aquí aparece el nombre de tu centro de trabajo.
Aunque estés teletrabajando, tienes que tener asociado un centro de trabajo de la empresa para la que trabajas. 
</t>
        </r>
        <r>
          <rPr>
            <b/>
            <i/>
            <sz val="10"/>
            <color indexed="81"/>
            <rFont val="Arial Nova"/>
            <family val="2"/>
          </rPr>
          <t>CCC SEG. SOCIAL</t>
        </r>
        <r>
          <rPr>
            <i/>
            <sz val="10"/>
            <color indexed="81"/>
            <rFont val="Arial Nova"/>
            <family val="2"/>
          </rPr>
          <t xml:space="preserve">
Aquí aparece la Cuenta de Cotización de tu Centro de Trabajo.
Es el código con el que la Seguridad Social identifica tu centro de trabajo.
</t>
        </r>
      </text>
    </comment>
    <comment ref="O7" authorId="0" shapeId="0" xr:uid="{C671B677-0CFE-4F5D-839F-24F4062A0B20}">
      <text>
        <r>
          <rPr>
            <i/>
            <sz val="10"/>
            <color indexed="81"/>
            <rFont val="Arial Nova"/>
            <family val="2"/>
          </rPr>
          <t xml:space="preserve">
</t>
        </r>
        <r>
          <rPr>
            <b/>
            <i/>
            <sz val="10"/>
            <color indexed="81"/>
            <rFont val="Arial Nova"/>
            <family val="2"/>
          </rPr>
          <t>AUMENTO BRUTO POR AUMENTO DE TABLAS</t>
        </r>
        <r>
          <rPr>
            <i/>
            <sz val="10"/>
            <color indexed="81"/>
            <rFont val="Arial Nova"/>
            <family val="2"/>
          </rPr>
          <t xml:space="preserve">
Es la suma de lo que aumentan los siguientes conceptos en cada nómina:
</t>
        </r>
        <r>
          <rPr>
            <b/>
            <i/>
            <sz val="10"/>
            <color indexed="81"/>
            <rFont val="Arial Nova"/>
            <family val="2"/>
          </rPr>
          <t xml:space="preserve">
  - </t>
        </r>
        <r>
          <rPr>
            <i/>
            <sz val="10"/>
            <color indexed="81"/>
            <rFont val="Arial Nova"/>
            <family val="2"/>
          </rPr>
          <t xml:space="preserve">incremento del </t>
        </r>
        <r>
          <rPr>
            <b/>
            <i/>
            <sz val="10"/>
            <color indexed="81"/>
            <rFont val="Arial Nova"/>
            <family val="2"/>
          </rPr>
          <t xml:space="preserve">Salario Base
  - </t>
        </r>
        <r>
          <rPr>
            <i/>
            <sz val="10"/>
            <color indexed="81"/>
            <rFont val="Arial Nova"/>
            <family val="2"/>
          </rPr>
          <t xml:space="preserve">incremento del </t>
        </r>
        <r>
          <rPr>
            <b/>
            <i/>
            <sz val="10"/>
            <color indexed="81"/>
            <rFont val="Arial Nova"/>
            <family val="2"/>
          </rPr>
          <t>Plus Convenio</t>
        </r>
        <r>
          <rPr>
            <i/>
            <sz val="10"/>
            <color indexed="81"/>
            <rFont val="Arial Nova"/>
            <family val="2"/>
          </rPr>
          <t xml:space="preserve">
  - incremento del EX SALARIO BASE 2022 (si lo tienes)
  - incremento del EX PLUS CONVENIO 2022 (si lo tienes)
  - incremento del </t>
        </r>
        <r>
          <rPr>
            <b/>
            <i/>
            <sz val="10"/>
            <color indexed="81"/>
            <rFont val="Arial Nova"/>
            <family val="2"/>
          </rPr>
          <t>Teletrabajo</t>
        </r>
        <r>
          <rPr>
            <i/>
            <sz val="10"/>
            <color indexed="81"/>
            <rFont val="Arial Nova"/>
            <family val="2"/>
          </rPr>
          <t xml:space="preserve"> (si usas esta modalidad)
  - incremento de la </t>
        </r>
        <r>
          <rPr>
            <b/>
            <i/>
            <sz val="10"/>
            <color indexed="81"/>
            <rFont val="Arial Nova"/>
            <family val="2"/>
          </rPr>
          <t>Antigüedad</t>
        </r>
        <r>
          <rPr>
            <i/>
            <sz val="10"/>
            <color indexed="81"/>
            <rFont val="Arial Nova"/>
            <family val="2"/>
          </rPr>
          <t xml:space="preserve"> por aumentar la base de su cálculo
  - incremento de la PRORRATA de pagas extraordinarias de los conceptos anteriores (si cobras en 12 pagas)
Aunque no cumplas un nuevo trienio, el concepto de antigüedad también aumenta porque aumenta la base sobre la que se calcula.
    Ejemplo:
    Salario Base en 2024 = 1.000 € y antigüedad del 10% (2 trienios) --&gt; antigüedad = 100 €
    Salario Base en 2025 = 1.040 € y antigüedad del 10% (2 trienios) --&gt; antigüedad = 104 €
    La antigüedad ha aumentado 4€ en cada nómina</t>
        </r>
      </text>
    </comment>
    <comment ref="O10" authorId="0" shapeId="0" xr:uid="{81055951-07B1-4A3B-99A6-ECEF874F0319}">
      <text>
        <r>
          <rPr>
            <b/>
            <i/>
            <sz val="10"/>
            <color indexed="81"/>
            <rFont val="Arial Nova"/>
            <family val="2"/>
          </rPr>
          <t xml:space="preserve">
AUMENTO BRUTO DEL TRIENIO
Si cumples un nuevo trienio el % de la antigüedad aumenta
</t>
        </r>
        <r>
          <rPr>
            <i/>
            <sz val="10"/>
            <color indexed="81"/>
            <rFont val="Arial Nova"/>
            <family val="2"/>
          </rPr>
          <t xml:space="preserve">  
   </t>
        </r>
        <r>
          <rPr>
            <i/>
            <u/>
            <sz val="10"/>
            <color indexed="81"/>
            <rFont val="Arial Nova"/>
            <family val="2"/>
          </rPr>
          <t>Ejemplo:</t>
        </r>
        <r>
          <rPr>
            <i/>
            <sz val="10"/>
            <color indexed="81"/>
            <rFont val="Arial Nova"/>
            <family val="2"/>
          </rPr>
          <t xml:space="preserve"> Cumples nuevo trienio en 2025. Pasas de 2 trienios a 3 trienios y tu antigüedad pasa del 10% al 15%.
   Salario Base en 2024 = 1.000 € y antigüedad del 10% (2 trienios) --&gt; antigüedad = 100 €</t>
        </r>
        <r>
          <rPr>
            <b/>
            <sz val="9"/>
            <color indexed="81"/>
            <rFont val="Tahoma"/>
            <family val="2"/>
          </rPr>
          <t xml:space="preserve">
   </t>
        </r>
        <r>
          <rPr>
            <i/>
            <sz val="10"/>
            <color indexed="81"/>
            <rFont val="Arial Nova"/>
            <family val="2"/>
          </rPr>
          <t>Salario Base en 2025 = 1.040 € y antigüedad del 15% (3 trienios) --&gt; antigüedad = 156 €
   La antigüedad ha aumentado 56€ en cada nómina</t>
        </r>
      </text>
    </comment>
    <comment ref="A11" authorId="0" shapeId="0" xr:uid="{43F8DFB7-6488-4B5F-B336-837BA112D87F}">
      <text>
        <r>
          <rPr>
            <b/>
            <i/>
            <sz val="10"/>
            <color indexed="81"/>
            <rFont val="Arial Nova"/>
            <family val="2"/>
          </rPr>
          <t xml:space="preserve">
NIF
</t>
        </r>
        <r>
          <rPr>
            <i/>
            <sz val="10"/>
            <color indexed="81"/>
            <rFont val="Arial Nova"/>
            <family val="2"/>
          </rPr>
          <t>Tu NIF o NIE</t>
        </r>
        <r>
          <rPr>
            <b/>
            <i/>
            <sz val="10"/>
            <color indexed="81"/>
            <rFont val="Arial Nova"/>
            <family val="2"/>
          </rPr>
          <t xml:space="preserve">
Nº AFILIACIÓN SEGURIDAD SOCIAL
</t>
        </r>
        <r>
          <rPr>
            <i/>
            <sz val="10"/>
            <color indexed="81"/>
            <rFont val="Arial Nova"/>
            <family val="2"/>
          </rPr>
          <t xml:space="preserve">Aquí va tu número de afiliación a la Seguridad Social, que es el código mediante el cual te identifica la Seguridad Social como persona trabajadora. 
Este código se te otorgó con tu primer contrato laboral.
Los dos primeros dígitos corresponden a la provincia donde iniciaste tu vida laboral en España.
</t>
        </r>
        <r>
          <rPr>
            <b/>
            <i/>
            <sz val="10"/>
            <color indexed="81"/>
            <rFont val="Arial Nova"/>
            <family val="2"/>
          </rPr>
          <t xml:space="preserve">
% JORNADA = PORCENTAJE DE JORNADA TRABAJADA</t>
        </r>
        <r>
          <rPr>
            <i/>
            <sz val="10"/>
            <color indexed="81"/>
            <rFont val="Arial Nova"/>
            <family val="2"/>
          </rPr>
          <t xml:space="preserve">
Si trabajas a jornada completa, no tienes reducción de jornada ni contrato a tiempo parcial, aquí debes introducir 100,00%.
La reducción máxima de jornada es de 1/2 (50%) donde se trabaja el 50% de la jornada.
La reducción mínima de jornada es de 1/8 (12,5%) donde se trabaja el 87,50% de la joranada.
</t>
        </r>
        <r>
          <rPr>
            <b/>
            <i/>
            <sz val="10"/>
            <color indexed="81"/>
            <rFont val="Arial Nova"/>
            <family val="2"/>
          </rPr>
          <t xml:space="preserve">
GRUPO TARIFA</t>
        </r>
        <r>
          <rPr>
            <i/>
            <sz val="10"/>
            <color indexed="81"/>
            <rFont val="Arial Nova"/>
            <family val="2"/>
          </rPr>
          <t xml:space="preserve">
Indica las bases de contingencias comunes mínimas y máximas que podemos cotizar a la Seguridad Social. Se puede cobrar 6.000€ brutos al mes, pero se cotizan como máximo hasta los primeros 4.720,50€.
Para el Año 2024, Según la página web de la Seguridad Social
GRUPO         BCC MÍNIMA          BCC MÁXIMA
-----------         --------------------         --------------------
    01             1.847,40                  4.720,50
    02             1.532,10                  4.720,50
    03             1.332,90                  4.720,50
</t>
        </r>
        <r>
          <rPr>
            <b/>
            <i/>
            <sz val="10"/>
            <color indexed="81"/>
            <rFont val="Arial Nova"/>
            <family val="2"/>
          </rPr>
          <t>ANTIGÜEDAD</t>
        </r>
        <r>
          <rPr>
            <i/>
            <sz val="10"/>
            <color indexed="81"/>
            <rFont val="Arial Nova"/>
            <family val="2"/>
          </rPr>
          <t xml:space="preserve">
Aquí va la fecha en la que comenzó tu contrato laboral (fecha de alta en la empresa en la Seguridad Social)
En función de esta fecha se calculan los trienios que llevas en la empresa.
</t>
        </r>
      </text>
    </comment>
    <comment ref="A13" authorId="0" shapeId="0" xr:uid="{25C0B96B-CE43-4BC6-87BF-31BF667E7839}">
      <text>
        <r>
          <rPr>
            <b/>
            <i/>
            <sz val="10"/>
            <color indexed="81"/>
            <rFont val="Arial Nova"/>
            <family val="2"/>
          </rPr>
          <t xml:space="preserve">
CATEGORÍA / GRUPO PROFESIONAL
  </t>
        </r>
        <r>
          <rPr>
            <i/>
            <sz val="10"/>
            <color indexed="81"/>
            <rFont val="Arial Nova"/>
            <family val="2"/>
          </rPr>
          <t xml:space="preserve">- En el convenio sectorial que nos aplica vienen definidas las categorías o grupos profesionales con las funciones que se realizan en cada una de ellas y sus salarios base y pluses de convenio asociados.
  - Tu categoría profesional o grupo profesional, únicamente la encontrarás en la cabecera de tu nómina.
  - Al aumentar de categoría, la subida salarial correspondiente es obligatoria, para cualquier persona que pase a esa categoría.
  - La categoría profesional debería actualizarse y aumentar conforme adquirimos más experiencia, más funciones y más responsabilidad.
</t>
        </r>
        <r>
          <rPr>
            <b/>
            <i/>
            <sz val="10"/>
            <color indexed="81"/>
            <rFont val="Arial Nova"/>
            <family val="2"/>
          </rPr>
          <t xml:space="preserve">
ROL INTERNO
</t>
        </r>
        <r>
          <rPr>
            <i/>
            <sz val="10"/>
            <color indexed="81"/>
            <rFont val="Arial Nova"/>
            <family val="2"/>
          </rPr>
          <t xml:space="preserve">  - El rol interno o clasificación de la empresa, es una etiqueta que la empresa nos asigna, generalmente en inglés que podrás encontrar junto a la información de tu perfil en la web de la empresa.
  - El aumento de rol únicamente tiene subida salarial cuando la empresa así lo decide y en la cantidad que la empresa decide para una persona dada. Dos personas que aumenten al mismo rol, pueden percibir cantidades distintas o incluso una percibir aumento y la otra no. El criterio es decisión total de la empresa.
  - En el caso de que un aumento de rol también tenga una subida salarial, esta subida se incorpora habitualmente en la nómina dentro de un complemento personal absorbible.
  - Este complemento persona absorbible, absorberá las futuras subidas salariales y las futuras antigüedades generadas.
</t>
        </r>
        <r>
          <rPr>
            <b/>
            <i/>
            <sz val="10"/>
            <color indexed="81"/>
            <rFont val="Arial Nova"/>
            <family val="2"/>
          </rPr>
          <t xml:space="preserve">
PERIODO DE LIQUIDACIÓN</t>
        </r>
        <r>
          <rPr>
            <i/>
            <sz val="10"/>
            <color indexed="81"/>
            <rFont val="Arial Nova"/>
            <family val="2"/>
          </rPr>
          <t xml:space="preserve">
 - El mes al que se refiere la nómina
</t>
        </r>
        <r>
          <rPr>
            <b/>
            <i/>
            <sz val="10"/>
            <color indexed="81"/>
            <rFont val="Arial Nova"/>
            <family val="2"/>
          </rPr>
          <t xml:space="preserve">
DÍAS</t>
        </r>
        <r>
          <rPr>
            <i/>
            <sz val="10"/>
            <color indexed="81"/>
            <rFont val="Arial Nova"/>
            <family val="2"/>
          </rPr>
          <t xml:space="preserve">
 - Siempre son 30, tenga el mes los días que tenga, porque cobramos en meses no en días</t>
        </r>
      </text>
    </comment>
    <comment ref="O14" authorId="0" shapeId="0" xr:uid="{4E9F22F1-FB48-4BD0-B530-A0DB5F0D82B2}">
      <text>
        <r>
          <rPr>
            <i/>
            <sz val="10"/>
            <color indexed="81"/>
            <rFont val="Arial Nova"/>
            <family val="2"/>
          </rPr>
          <t xml:space="preserve">
</t>
        </r>
        <r>
          <rPr>
            <b/>
            <i/>
            <sz val="10"/>
            <color indexed="81"/>
            <rFont val="Arial Nova"/>
            <family val="2"/>
          </rPr>
          <t>AUMENTO BRUTO REAL</t>
        </r>
        <r>
          <rPr>
            <i/>
            <sz val="10"/>
            <color indexed="81"/>
            <rFont val="Arial Nova"/>
            <family val="2"/>
          </rPr>
          <t xml:space="preserve">
Es el aumento bruto que queda tras las absorciones de los complementos que absorven de subidas salariales.
Si </t>
        </r>
        <r>
          <rPr>
            <b/>
            <i/>
            <sz val="10"/>
            <color indexed="81"/>
            <rFont val="Arial Nova"/>
            <family val="2"/>
          </rPr>
          <t>NO tienes ningún complemento absorbible</t>
        </r>
        <r>
          <rPr>
            <i/>
            <sz val="10"/>
            <color indexed="81"/>
            <rFont val="Arial Nova"/>
            <family val="2"/>
          </rPr>
          <t xml:space="preserve">, estás a PURO CONVENIO y COBRARÁS TODAS LAS SUBIDAS APLICADAS
Si </t>
        </r>
        <r>
          <rPr>
            <b/>
            <i/>
            <sz val="10"/>
            <color indexed="81"/>
            <rFont val="Arial Nova"/>
            <family val="2"/>
          </rPr>
          <t>tienes complementos absorbibles</t>
        </r>
        <r>
          <rPr>
            <i/>
            <sz val="10"/>
            <color indexed="81"/>
            <rFont val="Arial Nova"/>
            <family val="2"/>
          </rPr>
          <t xml:space="preserve">:
      - Si los complementos son </t>
        </r>
        <r>
          <rPr>
            <b/>
            <i/>
            <sz val="10"/>
            <color indexed="81"/>
            <rFont val="Arial Nova"/>
            <family val="2"/>
          </rPr>
          <t>inferiores a las subidas aplicadas</t>
        </r>
        <r>
          <rPr>
            <i/>
            <sz val="10"/>
            <color indexed="81"/>
            <rFont val="Arial Nova"/>
            <family val="2"/>
          </rPr>
          <t xml:space="preserve">, COBRARÁS ALGO MÁS QUE ANTES y desaparecerán los complementos absorbibles de tu nómina.
      - Si los complementos son </t>
        </r>
        <r>
          <rPr>
            <b/>
            <i/>
            <sz val="10"/>
            <color indexed="81"/>
            <rFont val="Arial Nova"/>
            <family val="2"/>
          </rPr>
          <t>superiores a las subidas aplicadas</t>
        </r>
        <r>
          <rPr>
            <i/>
            <sz val="10"/>
            <color indexed="81"/>
            <rFont val="Arial Nova"/>
            <family val="2"/>
          </rPr>
          <t xml:space="preserve">, COBRARÁS LO MISMO QUE ANTES y seguirás teniendo complementos absorbibles, que volverán a abosorber en su totalidad o en parte la siguiente subida salarial o de antigüedad.
</t>
        </r>
        <r>
          <rPr>
            <sz val="9"/>
            <color indexed="81"/>
            <rFont val="Tahoma"/>
            <family val="2"/>
          </rPr>
          <t xml:space="preserve">
</t>
        </r>
      </text>
    </comment>
    <comment ref="A18" authorId="0" shapeId="0" xr:uid="{7EF1C0DC-F21A-46CD-9D50-00C99B76B593}">
      <text>
        <r>
          <rPr>
            <b/>
            <i/>
            <sz val="10"/>
            <color indexed="81"/>
            <rFont val="Arial Nova"/>
            <family val="2"/>
          </rPr>
          <t xml:space="preserve">
UNIDADES
</t>
        </r>
        <r>
          <rPr>
            <i/>
            <sz val="10"/>
            <color indexed="81"/>
            <rFont val="Arial Nova"/>
            <family val="2"/>
          </rPr>
          <t xml:space="preserve">Porcentaje del periodo 
Ejemplo: Si en un periodo estamos 18 días trabajando y 12 días de baja, en la mayoría de conceptos aparecerá un 60,00. (30*0,60=18)
En esa nómina también aparecerá el concepto de Complemento IT (Complemento por Incapacidad Temporal) correspondiente a los 12 días de baja.
</t>
        </r>
        <r>
          <rPr>
            <b/>
            <i/>
            <sz val="10"/>
            <color indexed="81"/>
            <rFont val="Arial Nova"/>
            <family val="2"/>
          </rPr>
          <t>IMPORTE</t>
        </r>
        <r>
          <rPr>
            <i/>
            <sz val="10"/>
            <color indexed="81"/>
            <rFont val="Arial Nova"/>
            <family val="2"/>
          </rPr>
          <t xml:space="preserve">
Importe de cada concepto según el porcentaje de la jornada trabajada.
</t>
        </r>
        <r>
          <rPr>
            <b/>
            <i/>
            <sz val="10"/>
            <color indexed="81"/>
            <rFont val="Arial Nova"/>
            <family val="2"/>
          </rPr>
          <t>Si tenemos jornada reducida,</t>
        </r>
        <r>
          <rPr>
            <i/>
            <sz val="10"/>
            <color indexed="81"/>
            <rFont val="Arial Nova"/>
            <family val="2"/>
          </rPr>
          <t xml:space="preserve"> este importe aparecerá reducido según el % de jornada trabajada para algunos conceptos.
</t>
        </r>
        <r>
          <rPr>
            <b/>
            <i/>
            <sz val="10"/>
            <color indexed="81"/>
            <rFont val="Arial Nova"/>
            <family val="2"/>
          </rPr>
          <t>OJO!!</t>
        </r>
        <r>
          <rPr>
            <i/>
            <sz val="10"/>
            <color indexed="81"/>
            <rFont val="Arial Nova"/>
            <family val="2"/>
          </rPr>
          <t xml:space="preserve"> </t>
        </r>
        <r>
          <rPr>
            <b/>
            <i/>
            <sz val="10"/>
            <color indexed="81"/>
            <rFont val="Arial Nova"/>
            <family val="2"/>
          </rPr>
          <t>No todos los importes se reducen.</t>
        </r>
        <r>
          <rPr>
            <i/>
            <sz val="10"/>
            <color indexed="81"/>
            <rFont val="Arial Nova"/>
            <family val="2"/>
          </rPr>
          <t xml:space="preserve"> Por ejemplo el teletrabajo o el plus transporte NO SE REDUCEN porque aunque se trabaje menos horas el desplazamiento se realiza igualmente o aunque se trabaje menos horas la modalidad de trabajo es presencial o en teletrabajo.
</t>
        </r>
        <r>
          <rPr>
            <b/>
            <i/>
            <sz val="10"/>
            <color indexed="81"/>
            <rFont val="Arial Nova"/>
            <family val="2"/>
          </rPr>
          <t>DEVENGOS</t>
        </r>
        <r>
          <rPr>
            <i/>
            <sz val="10"/>
            <color indexed="81"/>
            <rFont val="Arial Nova"/>
            <family val="2"/>
          </rPr>
          <t xml:space="preserve">
Los devengos son los ingresos brutos obtenidos formados por la suma de percepciones salariales y perceptiones extrasalariales. </t>
        </r>
        <r>
          <rPr>
            <b/>
            <i/>
            <sz val="10"/>
            <color indexed="81"/>
            <rFont val="Arial Nova"/>
            <family val="2"/>
          </rPr>
          <t xml:space="preserve">
</t>
        </r>
        <r>
          <rPr>
            <i/>
            <sz val="10"/>
            <color indexed="81"/>
            <rFont val="Arial Nova"/>
            <family val="2"/>
          </rPr>
          <t xml:space="preserve">
</t>
        </r>
        <r>
          <rPr>
            <b/>
            <i/>
            <sz val="10"/>
            <color indexed="81"/>
            <rFont val="Arial Nova"/>
            <family val="2"/>
          </rPr>
          <t>DESCUENTOS</t>
        </r>
        <r>
          <rPr>
            <i/>
            <sz val="10"/>
            <color indexed="81"/>
            <rFont val="Arial Nova"/>
            <family val="2"/>
          </rPr>
          <t xml:space="preserve">
Sobre la suma de los devengos se calcula la base de cotización a la Seguridad Social y la base imponible del IRPF y a estas bases se aplican las deducciones.</t>
        </r>
      </text>
    </comment>
    <comment ref="A19" authorId="0" shapeId="0" xr:uid="{A53D8575-A0D7-4625-A948-3BA1E16C2DB3}">
      <text>
        <r>
          <rPr>
            <b/>
            <sz val="10"/>
            <color indexed="81"/>
            <rFont val="Arial Nova"/>
            <family val="2"/>
          </rPr>
          <t xml:space="preserve">
</t>
        </r>
        <r>
          <rPr>
            <b/>
            <i/>
            <sz val="10"/>
            <color indexed="81"/>
            <rFont val="Arial Nova"/>
            <family val="2"/>
          </rPr>
          <t xml:space="preserve">SALARIO BASE
</t>
        </r>
        <r>
          <rPr>
            <i/>
            <sz val="10"/>
            <color indexed="81"/>
            <rFont val="Arial Nova"/>
            <family val="2"/>
          </rPr>
          <t>Es el salario mínimo que en 2024 debe cobrar una persona con la categoría indicada arriba, en la cabecera de la nómina.
La categoría o grupo profesional está definida y cuantificada económicamente en el convenio sectorial.
Este concepto aparece siempre en todas las nóminas.
Este concepto COTIZA y TRIBUTA (se les aplica los % de cotización y el % de IRPF).</t>
        </r>
        <r>
          <rPr>
            <sz val="10"/>
            <color indexed="81"/>
            <rFont val="Tahoma"/>
            <family val="2"/>
          </rPr>
          <t xml:space="preserve">
</t>
        </r>
        <r>
          <rPr>
            <b/>
            <i/>
            <sz val="10"/>
            <color indexed="81"/>
            <rFont val="Arial Nova"/>
            <family val="2"/>
          </rPr>
          <t xml:space="preserve">Si te aparece el importe vacío es porque te falta introducir el % de jornada trabajada.
</t>
        </r>
      </text>
    </comment>
    <comment ref="A20" authorId="0" shapeId="0" xr:uid="{DBD4FBD4-B691-4A91-9A9E-1C98DE27A641}">
      <text>
        <r>
          <rPr>
            <b/>
            <sz val="9"/>
            <color indexed="81"/>
            <rFont val="Tahoma"/>
            <family val="2"/>
          </rPr>
          <t xml:space="preserve">
</t>
        </r>
        <r>
          <rPr>
            <b/>
            <i/>
            <sz val="10"/>
            <color indexed="81"/>
            <rFont val="Arial Nova"/>
            <family val="2"/>
          </rPr>
          <t xml:space="preserve">EX SALARIO BASE 2022
</t>
        </r>
        <r>
          <rPr>
            <i/>
            <sz val="10"/>
            <color indexed="81"/>
            <rFont val="Arial Nova"/>
            <family val="2"/>
          </rPr>
          <t xml:space="preserve">
Con la aplicación del convenio sectorial en 2022 se hizo una reclasificación profesional.
En la reclasificación, el salario base de la categoría destino podía ser inferior del salario base de la categoría origen, la diferencia aparecía en este nuevo concepto, al que también se deberán aplicar los porcentajes de subidas salariales sobre salarios base que se pacten en el futuro.
Este concepto COTIZA y TRIBUTA (se les aplica los % de cotización y el % de IRPF).
</t>
        </r>
      </text>
    </comment>
    <comment ref="A21" authorId="0" shapeId="0" xr:uid="{5C75269B-A80E-4434-A1EE-3775230D6AA9}">
      <text>
        <r>
          <rPr>
            <sz val="9"/>
            <color indexed="81"/>
            <rFont val="Arial Nova"/>
            <family val="2"/>
          </rPr>
          <t xml:space="preserve">
</t>
        </r>
        <r>
          <rPr>
            <b/>
            <i/>
            <sz val="10"/>
            <color indexed="81"/>
            <rFont val="Arial Nova"/>
            <family val="2"/>
          </rPr>
          <t>PLUS CONVENIO</t>
        </r>
        <r>
          <rPr>
            <i/>
            <sz val="10"/>
            <color indexed="81"/>
            <rFont val="Arial Nova"/>
            <family val="2"/>
          </rPr>
          <t xml:space="preserve">
Es el plus convenio mínimo que en 2024 debe cobrar una persona con la categoría indicada arriba, en la cabecera de la nómina.
La categoría o grupo profesional está definida y cuantificada económicamente en el convenio sectorial (su salario base y su plus convenio)
Este concepto aparece siempre en todas las nóminas.
Este concepto COTIZA y TRIBUTA (se les aplica los % de cotización y el % de IRPF).
</t>
        </r>
        <r>
          <rPr>
            <b/>
            <i/>
            <sz val="10"/>
            <color indexed="81"/>
            <rFont val="Arial Nova"/>
            <family val="2"/>
          </rPr>
          <t xml:space="preserve">Si te aparece el importe vacío es porque te falta introducir el % de jornada trabajada. </t>
        </r>
      </text>
    </comment>
    <comment ref="A22" authorId="0" shapeId="0" xr:uid="{71AAE1D5-6BA7-4BC5-8CA6-9FCED3E53339}">
      <text>
        <r>
          <rPr>
            <b/>
            <i/>
            <sz val="10"/>
            <color indexed="81"/>
            <rFont val="Arial Nova"/>
            <family val="2"/>
          </rPr>
          <t xml:space="preserve">
EX PLUS CONVENIO 2022
</t>
        </r>
        <r>
          <rPr>
            <i/>
            <sz val="10"/>
            <color indexed="81"/>
            <rFont val="Arial Nova"/>
            <family val="2"/>
          </rPr>
          <t xml:space="preserve">
Con la aplicación del convenio sectorial en 2022 se hizo una reclasificación profesional.
En la reclasificación, el plus convenio de la categoría destino podía ser inferior del plus convenio de la categoría origen, la diferencia aparecía en este nuevo concepto, al que también se deberán aplicar los porcentajes de subidas salariales sobre pluses convenio que se pacten en el futuro.
Este concepto COTIZA y TRIBUTA (se les aplica los % de cotización y el % de IRPF).
</t>
        </r>
      </text>
    </comment>
    <comment ref="A23" authorId="0" shapeId="0" xr:uid="{A4B77ACE-37CD-42DC-AB1B-5068BC4C6A10}">
      <text>
        <r>
          <rPr>
            <i/>
            <sz val="10"/>
            <color indexed="81"/>
            <rFont val="Arial Nova"/>
            <family val="2"/>
          </rPr>
          <t xml:space="preserve">
</t>
        </r>
        <r>
          <rPr>
            <b/>
            <i/>
            <sz val="10"/>
            <color indexed="81"/>
            <rFont val="Arial Nova"/>
            <family val="2"/>
          </rPr>
          <t>ANTIGÜEDAD</t>
        </r>
        <r>
          <rPr>
            <i/>
            <sz val="10"/>
            <color indexed="81"/>
            <rFont val="Arial Nova"/>
            <family val="2"/>
          </rPr>
          <t xml:space="preserve">
Es un % sobre el Salario Base de la Categoría que ACTUALMENTE aparece en la cabecera de la nómina (no sobre la categoría por la que te contrataron inicialmente).
Si aún no te aparece este concepto en la nómina es porque llevas en la empresa menos de 3 años. Una vez transcurridos los 3 primeros años, este concepto ha de aparecer siempre, obligatoriamente en tu nómina.
</t>
        </r>
        <r>
          <rPr>
            <b/>
            <i/>
            <sz val="10"/>
            <color indexed="81"/>
            <rFont val="Arial Nova"/>
            <family val="2"/>
          </rPr>
          <t>Trienio</t>
        </r>
        <r>
          <rPr>
            <i/>
            <sz val="10"/>
            <color indexed="81"/>
            <rFont val="Arial Nova"/>
            <family val="2"/>
          </rPr>
          <t xml:space="preserve">: cada 3 años que permanecemos en la misma empresa cumplimos un nuevo trienio. Se cobra desde enero del año en que cumplimos un nuevo trienio.
</t>
        </r>
        <r>
          <rPr>
            <b/>
            <i/>
            <sz val="10"/>
            <color indexed="81"/>
            <rFont val="Arial Nova"/>
            <family val="2"/>
          </rPr>
          <t>Ejemplo</t>
        </r>
        <r>
          <rPr>
            <i/>
            <sz val="10"/>
            <color indexed="81"/>
            <rFont val="Arial Nova"/>
            <family val="2"/>
          </rPr>
          <t xml:space="preserve">: una persona que comienza en la empresa en diciembre de 2022 comenzará a cobrar antigüedad en la nómina de enero de 2025, esta antigüedad aumentará en enero de 2028 y volverá a aumentar en enero de 2031 ...
</t>
        </r>
        <r>
          <rPr>
            <b/>
            <i/>
            <sz val="10"/>
            <color indexed="81"/>
            <rFont val="Arial Nova"/>
            <family val="2"/>
          </rPr>
          <t>Antigüedad según trienios:</t>
        </r>
        <r>
          <rPr>
            <i/>
            <sz val="10"/>
            <color indexed="81"/>
            <rFont val="Arial Nova"/>
            <family val="2"/>
          </rPr>
          <t xml:space="preserve">
0 trienios - Menos de 3 años en la empresa    - Antigüedad =  </t>
        </r>
        <r>
          <rPr>
            <b/>
            <i/>
            <sz val="10"/>
            <color indexed="81"/>
            <rFont val="Arial Nova"/>
            <family val="2"/>
          </rPr>
          <t>0%</t>
        </r>
        <r>
          <rPr>
            <i/>
            <sz val="10"/>
            <color indexed="81"/>
            <rFont val="Arial Nova"/>
            <family val="2"/>
          </rPr>
          <t xml:space="preserve"> del Salario Base
1 trienio - de 3 años a 5 años en la empresa - Antigüedad =  </t>
        </r>
        <r>
          <rPr>
            <b/>
            <i/>
            <sz val="10"/>
            <color indexed="81"/>
            <rFont val="Arial Nova"/>
            <family val="2"/>
          </rPr>
          <t xml:space="preserve">5% </t>
        </r>
        <r>
          <rPr>
            <i/>
            <sz val="10"/>
            <color indexed="81"/>
            <rFont val="Arial Nova"/>
            <family val="2"/>
          </rPr>
          <t xml:space="preserve">del Salario Base
2 trienios - de 6 años a 8 años en la empresa - Antigüedad = </t>
        </r>
        <r>
          <rPr>
            <b/>
            <i/>
            <sz val="10"/>
            <color indexed="81"/>
            <rFont val="Arial Nova"/>
            <family val="2"/>
          </rPr>
          <t xml:space="preserve">10% </t>
        </r>
        <r>
          <rPr>
            <i/>
            <sz val="10"/>
            <color indexed="81"/>
            <rFont val="Arial Nova"/>
            <family val="2"/>
          </rPr>
          <t xml:space="preserve">del Salario Base
3 trienios - de 9 años a 11 años en la empresa - Antigüedad = </t>
        </r>
        <r>
          <rPr>
            <b/>
            <i/>
            <sz val="10"/>
            <color indexed="81"/>
            <rFont val="Arial Nova"/>
            <family val="2"/>
          </rPr>
          <t xml:space="preserve">15% </t>
        </r>
        <r>
          <rPr>
            <i/>
            <sz val="10"/>
            <color indexed="81"/>
            <rFont val="Arial Nova"/>
            <family val="2"/>
          </rPr>
          <t xml:space="preserve">del Salario Base
4 trienios - de 12 años a 14 años en la empresa - Antigüedad = </t>
        </r>
        <r>
          <rPr>
            <b/>
            <i/>
            <sz val="10"/>
            <color indexed="81"/>
            <rFont val="Arial Nova"/>
            <family val="2"/>
          </rPr>
          <t>20%</t>
        </r>
        <r>
          <rPr>
            <i/>
            <sz val="10"/>
            <color indexed="81"/>
            <rFont val="Arial Nova"/>
            <family val="2"/>
          </rPr>
          <t xml:space="preserve"> del Salario Base
5 trienios - de 15 años a 17 años en la empresa - Antigüedad = </t>
        </r>
        <r>
          <rPr>
            <b/>
            <i/>
            <sz val="10"/>
            <color indexed="81"/>
            <rFont val="Arial Nova"/>
            <family val="2"/>
          </rPr>
          <t>25%</t>
        </r>
        <r>
          <rPr>
            <i/>
            <sz val="10"/>
            <color indexed="81"/>
            <rFont val="Arial Nova"/>
            <family val="2"/>
          </rPr>
          <t xml:space="preserve"> del Salario Base
6 trienios - de 18 años a 20 años en la empresa - Antigüedad = </t>
        </r>
        <r>
          <rPr>
            <b/>
            <i/>
            <sz val="10"/>
            <color indexed="81"/>
            <rFont val="Arial Nova"/>
            <family val="2"/>
          </rPr>
          <t>35%</t>
        </r>
        <r>
          <rPr>
            <i/>
            <sz val="10"/>
            <color indexed="81"/>
            <rFont val="Arial Nova"/>
            <family val="2"/>
          </rPr>
          <t xml:space="preserve"> del Salario Base
7 trienios - de 21 años a 23 años en la empresa - Antigüedad = </t>
        </r>
        <r>
          <rPr>
            <b/>
            <i/>
            <sz val="10"/>
            <color indexed="81"/>
            <rFont val="Arial Nova"/>
            <family val="2"/>
          </rPr>
          <t>45%</t>
        </r>
        <r>
          <rPr>
            <i/>
            <sz val="10"/>
            <color indexed="81"/>
            <rFont val="Arial Nova"/>
            <family val="2"/>
          </rPr>
          <t xml:space="preserve"> del Salario Base
8 trienios - de 24 años a 26 años en la empresa - Antigüedad = </t>
        </r>
        <r>
          <rPr>
            <b/>
            <i/>
            <sz val="10"/>
            <color indexed="81"/>
            <rFont val="Arial Nova"/>
            <family val="2"/>
          </rPr>
          <t>55%</t>
        </r>
        <r>
          <rPr>
            <i/>
            <sz val="10"/>
            <color indexed="81"/>
            <rFont val="Arial Nova"/>
            <family val="2"/>
          </rPr>
          <t xml:space="preserve"> del Salario Base
9 trienios - de 27 años o más en la empresa - Antigüedad = </t>
        </r>
        <r>
          <rPr>
            <b/>
            <i/>
            <sz val="10"/>
            <color indexed="81"/>
            <rFont val="Arial Nova"/>
            <family val="2"/>
          </rPr>
          <t>60%</t>
        </r>
        <r>
          <rPr>
            <i/>
            <sz val="10"/>
            <color indexed="81"/>
            <rFont val="Arial Nova"/>
            <family val="2"/>
          </rPr>
          <t xml:space="preserve"> del Salario Base </t>
        </r>
        <r>
          <rPr>
            <b/>
            <i/>
            <sz val="10"/>
            <color indexed="81"/>
            <rFont val="Tahoma"/>
            <family val="2"/>
          </rPr>
          <t xml:space="preserve">
</t>
        </r>
        <r>
          <rPr>
            <sz val="9"/>
            <color indexed="81"/>
            <rFont val="Tahoma"/>
            <family val="2"/>
          </rPr>
          <t xml:space="preserve">
</t>
        </r>
        <r>
          <rPr>
            <i/>
            <sz val="10"/>
            <color indexed="81"/>
            <rFont val="Arial Nova"/>
            <family val="2"/>
          </rPr>
          <t>Este concepto COTIZA y TRIBUTA (se les aplica los % de cotización y el % de IRPF).</t>
        </r>
      </text>
    </comment>
    <comment ref="A24" authorId="0" shapeId="0" xr:uid="{AC120763-EE3E-48D7-92E2-32DAB5DD1CDA}">
      <text>
        <r>
          <rPr>
            <b/>
            <i/>
            <sz val="10"/>
            <color indexed="81"/>
            <rFont val="Arial Nova"/>
            <family val="2"/>
          </rPr>
          <t xml:space="preserve">
CONSOLIDADOS = COMPLEMENTOS GARANTIZOS QUE NO ABSORBEN NADA</t>
        </r>
        <r>
          <rPr>
            <i/>
            <sz val="10"/>
            <color indexed="81"/>
            <rFont val="Arial Nova"/>
            <family val="2"/>
          </rPr>
          <t xml:space="preserve">
Complementos GARANTIZADOS, bien por convenios o acuerdos anteriores que operan en 14 pagas, y no pueden absorber nada.
Este concepto COTIZA y TRIBUTA (se les aplica los % de cotización y el % de IRPF).
Ejemplo: </t>
        </r>
        <r>
          <rPr>
            <b/>
            <i/>
            <sz val="10"/>
            <color indexed="81"/>
            <rFont val="Arial Nova"/>
            <family val="2"/>
          </rPr>
          <t>Antigüedad Consolidada</t>
        </r>
        <r>
          <rPr>
            <i/>
            <sz val="10"/>
            <color indexed="81"/>
            <rFont val="Arial Nova"/>
            <family val="2"/>
          </rPr>
          <t xml:space="preserve"> o </t>
        </r>
        <r>
          <rPr>
            <b/>
            <i/>
            <sz val="10"/>
            <color indexed="81"/>
            <rFont val="Arial Nova"/>
            <family val="2"/>
          </rPr>
          <t xml:space="preserve">Complemento Consolidado
</t>
        </r>
        <r>
          <rPr>
            <i/>
            <sz val="10"/>
            <color indexed="81"/>
            <rFont val="Arial Nova"/>
            <family val="2"/>
          </rPr>
          <t xml:space="preserve">Las personas que vienen del metal, al pasar al convenio de informática, obtuvieron una antigüedad consolidada que era igual a la antigüedad generada por el convenio del metal hasta 2009, pasando a generar nuevos trienios del convenio de informática desde el 2009.
</t>
        </r>
      </text>
    </comment>
    <comment ref="A25" authorId="0" shapeId="0" xr:uid="{05CF3E29-6AAA-47B8-A703-9C86F83EB3A3}">
      <text>
        <r>
          <rPr>
            <i/>
            <sz val="10"/>
            <color indexed="81"/>
            <rFont val="Arial Nova"/>
            <family val="2"/>
          </rPr>
          <t xml:space="preserve">
</t>
        </r>
        <r>
          <rPr>
            <b/>
            <i/>
            <sz val="10"/>
            <color indexed="81"/>
            <rFont val="Arial Nova"/>
            <family val="2"/>
          </rPr>
          <t>COMPLEMENTO ABSORBIBLE O COMPLEMENTO PERSONAL ABSORBIBLE</t>
        </r>
        <r>
          <rPr>
            <i/>
            <sz val="10"/>
            <color indexed="81"/>
            <rFont val="Arial Nova"/>
            <family val="2"/>
          </rPr>
          <t xml:space="preserve">
Concepto salarial que disminuye en la misma proporción que aumentan otros conceptos como la antigüedad, el salario base o el plus convenio.
Si NO tienes complemento personal absorbible en tu nómina selecciona la opción en blanco del desplegable.
Si tienes un complemento personal absorbible seleccionalo e indica su importe.</t>
        </r>
        <r>
          <rPr>
            <i/>
            <sz val="10"/>
            <color indexed="81"/>
            <rFont val="Tahoma"/>
            <family val="2"/>
          </rPr>
          <t xml:space="preserve">
Este concepto COTIZA y TRIBUTA (se les aplica los % de cotización y el % de IRPF).</t>
        </r>
      </text>
    </comment>
    <comment ref="A26" authorId="0" shapeId="0" xr:uid="{88E23879-427D-4D12-933C-6C2CBDB4A263}">
      <text>
        <r>
          <rPr>
            <b/>
            <i/>
            <sz val="10"/>
            <color indexed="81"/>
            <rFont val="Arial Nova"/>
            <family val="2"/>
          </rPr>
          <t xml:space="preserve">
COMPLEMENTOS QUE SOLO PUEDEN ABSORBER TRIENIOS</t>
        </r>
        <r>
          <rPr>
            <i/>
            <sz val="10"/>
            <color indexed="81"/>
            <rFont val="Arial Nova"/>
            <family val="2"/>
          </rPr>
          <t xml:space="preserve">
Complementos que únicamente absorben aumentos por cambio de trienio NO pudiendo absorber subidas salariales de tablas ni lo que aumenta la antigüedad por haber aumentado el salario base sobre el que se calcula.
Este concepto COTIZA y TRIBUTA (se les aplica los % de cotización y el % de IRPF).
Ejemplo: </t>
        </r>
        <r>
          <rPr>
            <b/>
            <i/>
            <sz val="10"/>
            <color indexed="81"/>
            <rFont val="Arial Nova"/>
            <family val="2"/>
          </rPr>
          <t xml:space="preserve">Complemento Salarial Pactado
</t>
        </r>
        <r>
          <rPr>
            <i/>
            <sz val="10"/>
            <color indexed="81"/>
            <rFont val="Arial Nova"/>
            <family val="2"/>
          </rPr>
          <t xml:space="preserve">
</t>
        </r>
      </text>
    </comment>
    <comment ref="A27" authorId="0" shapeId="0" xr:uid="{E015DC45-F90F-41CC-8EB3-6249430C7F2C}">
      <text>
        <r>
          <rPr>
            <b/>
            <i/>
            <sz val="10"/>
            <color indexed="81"/>
            <rFont val="Arial Nova"/>
            <family val="2"/>
          </rPr>
          <t xml:space="preserve">
COMPLEMENTOS QUE SOLO PUEDEN ABSORBER SUBIDA DE TABLAS SALARIALES</t>
        </r>
        <r>
          <rPr>
            <i/>
            <sz val="10"/>
            <color indexed="81"/>
            <rFont val="Arial Nova"/>
            <family val="2"/>
          </rPr>
          <t xml:space="preserve">
Complementos que únicamente absorben aumentos por subida de tablas y no pueden absorber ninguna subida de antigüedad, ni de generación de trienios ni subidas en salario base o plus convenio por cambio de categoría.
Este concepto COTIZA y TRIBUTA (se les aplica los % de cotización y el % de IRPF).
Ejemplo: </t>
        </r>
        <r>
          <rPr>
            <b/>
            <i/>
            <sz val="10"/>
            <color indexed="81"/>
            <rFont val="Arial Nova"/>
            <family val="2"/>
          </rPr>
          <t xml:space="preserve">
</t>
        </r>
        <r>
          <rPr>
            <i/>
            <sz val="10"/>
            <color indexed="81"/>
            <rFont val="Arial Nova"/>
            <family val="2"/>
          </rPr>
          <t xml:space="preserve">
</t>
        </r>
      </text>
    </comment>
    <comment ref="A28" authorId="0" shapeId="0" xr:uid="{BC4AE218-ED6F-471D-A8FA-3F1900C69F2E}">
      <text>
        <r>
          <rPr>
            <i/>
            <sz val="10"/>
            <color indexed="81"/>
            <rFont val="Arial Nova"/>
            <family val="2"/>
          </rPr>
          <t xml:space="preserve">
</t>
        </r>
        <r>
          <rPr>
            <b/>
            <i/>
            <sz val="10"/>
            <color indexed="81"/>
            <rFont val="Arial Nova"/>
            <family val="2"/>
          </rPr>
          <t>PRORRATA PAGAS EXTRAORDINARIAS</t>
        </r>
        <r>
          <rPr>
            <i/>
            <sz val="10"/>
            <color indexed="81"/>
            <rFont val="Arial Nova"/>
            <family val="2"/>
          </rPr>
          <t xml:space="preserve">
Este concepto aparece si cobras todos los meses lo mismo, porque la paga de verano y la paga de navidad las tienes prorrateadas mes a mes, donde cada més se añade proporcionalmente una parte de esas 2 pagas extraordinarias. Si este concepto no está en tu nómina, es porque tienes 2 pagas extraordinarias con sus respectivas nóminas de pagas extraordinarias que cobras en verano y en navidad.
Las pagas extraordinarias incluyen: Salario Base, Ex Salario Base, Plus Convenio, Ex Plus Convenio, Antigüedad y Complemento Absorbible que son los conceptos con 14 pagas.
El prorrateo de las Pagas Extraordinarias COTIZA y TRIBUTA (se les aplica los % de cotización y el % de IRPF).
</t>
        </r>
        <r>
          <rPr>
            <b/>
            <i/>
            <sz val="10"/>
            <color indexed="81"/>
            <rFont val="Arial Nova"/>
            <family val="2"/>
          </rPr>
          <t>Nota sobre las cotizaciones para quien cobra en 14 pagas:</t>
        </r>
        <r>
          <rPr>
            <i/>
            <sz val="10"/>
            <color indexed="81"/>
            <rFont val="Arial Nova"/>
            <family val="2"/>
          </rPr>
          <t xml:space="preserve">
En las nóminas de pagas extra verás que TRIBUTAN (se les aplica el % de IRPF) pero no verás que COTIZAN (no se les aplica ningún % de cotización a la Seguridad Social).
Eso no quiere decir que NO coticen, las pagas extraordinarias SI cotizan, pero cotizan de manera prorrateada, en cada una de las nóminas "ordinarias" porque la Seguridad Social trabaja siempre sobre 12 meses, aunque cobremos en 14 pagas.
En las nóminas ordinarias de alguien que cobra en 14 pagas, la base de cotización de contingencias comunes es superior a la suma de las conceptos porque incluye la parte proporcional de las pagas extraordinarias.
</t>
        </r>
      </text>
    </comment>
    <comment ref="A29" authorId="0" shapeId="0" xr:uid="{EBDABA4D-F80D-4351-9D3B-D448DCF07144}">
      <text>
        <r>
          <rPr>
            <i/>
            <sz val="10"/>
            <color indexed="81"/>
            <rFont val="Arial Nova"/>
            <family val="2"/>
          </rPr>
          <t xml:space="preserve">
</t>
        </r>
        <r>
          <rPr>
            <b/>
            <i/>
            <sz val="10"/>
            <color indexed="81"/>
            <rFont val="Arial Nova"/>
            <family val="2"/>
          </rPr>
          <t xml:space="preserve">TELETRABAJO </t>
        </r>
        <r>
          <rPr>
            <i/>
            <sz val="10"/>
            <color indexed="81"/>
            <rFont val="Arial Nova"/>
            <family val="2"/>
          </rPr>
          <t xml:space="preserve">(Artículo 41 del Convenio Sectorial)
Se establecen </t>
        </r>
        <r>
          <rPr>
            <b/>
            <i/>
            <sz val="10"/>
            <color indexed="81"/>
            <rFont val="Arial Nova"/>
            <family val="2"/>
          </rPr>
          <t>17€ brutos mensuales</t>
        </r>
        <r>
          <rPr>
            <i/>
            <sz val="10"/>
            <color indexed="81"/>
            <rFont val="Arial Nova"/>
            <family val="2"/>
          </rPr>
          <t xml:space="preserve"> en materia de abono y compensación de gastos, con naturaleza extrasalarial, no compensable ni absorbible por ningún otro concepto, esta cantidad compensa a la persona trabajadora por todos los conceptos de gastos vinculados al desarrollo de trabajo a distancia (suministros, agua, utilización de espacios, etc.)
</t>
        </r>
        <r>
          <rPr>
            <b/>
            <i/>
            <sz val="10"/>
            <color indexed="81"/>
            <rFont val="Arial Nova"/>
            <family val="2"/>
          </rPr>
          <t>Cuando se trabaje en esta modalidad al 100%,</t>
        </r>
        <r>
          <rPr>
            <i/>
            <sz val="10"/>
            <color indexed="81"/>
            <rFont val="Arial Nova"/>
            <family val="2"/>
          </rPr>
          <t xml:space="preserve"> o en su proporcionalidad.</t>
        </r>
        <r>
          <rPr>
            <sz val="9"/>
            <color indexed="81"/>
            <rFont val="Tahoma"/>
            <family val="2"/>
          </rPr>
          <t xml:space="preserve">
</t>
        </r>
        <r>
          <rPr>
            <i/>
            <sz val="10"/>
            <color indexed="81"/>
            <rFont val="Arial Nova"/>
            <family val="2"/>
          </rPr>
          <t xml:space="preserve">Este concepto COTIZA y TRIBUTA (se les aplica los % de cotización y el % de IRPF).
</t>
        </r>
      </text>
    </comment>
    <comment ref="A30" authorId="0" shapeId="0" xr:uid="{9B73AC64-A482-4136-9888-71CF389285E7}">
      <text>
        <r>
          <rPr>
            <i/>
            <sz val="10"/>
            <color indexed="81"/>
            <rFont val="Arial Nova"/>
            <family val="2"/>
          </rPr>
          <t xml:space="preserve">
</t>
        </r>
        <r>
          <rPr>
            <b/>
            <i/>
            <sz val="10"/>
            <color indexed="81"/>
            <rFont val="Arial Nova"/>
            <family val="2"/>
          </rPr>
          <t>OTROS CONCEPTOS SALARIALES que se tienen en cuenta en la PSI (Política Salarial Individualizada)</t>
        </r>
        <r>
          <rPr>
            <i/>
            <sz val="10"/>
            <color indexed="81"/>
            <rFont val="Arial Nova"/>
            <family val="2"/>
          </rPr>
          <t xml:space="preserve">
Son conceptos salariales que SI forman parte de la PSI por ser complementos garantizados o consolidados.
Si en tu nómina aparecen estos conceptos salariales, súmalos e introduce el importe total.
En la pestaña de CONCEPTOS encontrarás los posibles Conceptos Salariales que pueden aparecer en tu nómina.
Los conceptos que debes introducir aquí:
   - NO se ven afectados por las subidas salariales de tablas ni por el aumento de la antigüedad.
   - NO absorben ninguna subida, ni de tablas ni de antigüedad.
   - </t>
        </r>
        <r>
          <rPr>
            <b/>
            <i/>
            <u/>
            <sz val="10"/>
            <color indexed="81"/>
            <rFont val="Arial Nova"/>
            <family val="2"/>
          </rPr>
          <t>COTIZAN</t>
        </r>
        <r>
          <rPr>
            <i/>
            <sz val="10"/>
            <color indexed="81"/>
            <rFont val="Arial Nova"/>
            <family val="2"/>
          </rPr>
          <t xml:space="preserve"> y </t>
        </r>
        <r>
          <rPr>
            <b/>
            <i/>
            <u/>
            <sz val="10"/>
            <color indexed="81"/>
            <rFont val="Arial Nova"/>
            <family val="2"/>
          </rPr>
          <t>TRIBUTAN</t>
        </r>
        <r>
          <rPr>
            <i/>
            <sz val="10"/>
            <color indexed="81"/>
            <rFont val="Arial Nova"/>
            <family val="2"/>
          </rPr>
          <t xml:space="preserve"> (se les aplica el % de cotización y el % de IRPF).
   - SI SE TIENEN EN CUENTA EN EL CÁLCULO DE INDEMNIZACIÓN POR DESPIDO.
Ejemplos:
  - </t>
        </r>
        <r>
          <rPr>
            <b/>
            <i/>
            <sz val="10"/>
            <color indexed="81"/>
            <rFont val="Arial Nova"/>
            <family val="2"/>
          </rPr>
          <t>Cpto. Garant. (antig. PT)</t>
        </r>
        <r>
          <rPr>
            <i/>
            <sz val="10"/>
            <color indexed="81"/>
            <rFont val="Arial Nova"/>
            <family val="2"/>
          </rPr>
          <t xml:space="preserve"> de 107,50 € para el colectivo TES  
  - </t>
        </r>
        <r>
          <rPr>
            <b/>
            <i/>
            <sz val="10"/>
            <color indexed="81"/>
            <rFont val="Arial Nova"/>
            <family val="2"/>
          </rPr>
          <t xml:space="preserve">Antigüedad Consolidada </t>
        </r>
        <r>
          <rPr>
            <i/>
            <sz val="10"/>
            <color indexed="81"/>
            <rFont val="Arial Nova"/>
            <family val="2"/>
          </rPr>
          <t xml:space="preserve">del colectivo proveniente del convenio del metal  
</t>
        </r>
      </text>
    </comment>
    <comment ref="A31" authorId="0" shapeId="0" xr:uid="{4890502D-6789-4064-9181-9A025F515366}">
      <text>
        <r>
          <rPr>
            <i/>
            <sz val="10"/>
            <color indexed="81"/>
            <rFont val="Arial Nova"/>
            <family val="2"/>
          </rPr>
          <t xml:space="preserve">
</t>
        </r>
        <r>
          <rPr>
            <b/>
            <i/>
            <sz val="10"/>
            <color indexed="81"/>
            <rFont val="Arial Nova"/>
            <family val="2"/>
          </rPr>
          <t xml:space="preserve">OTROS CONCEPTOS SALARIALES que NO se tienen en cuenta en la PSI (Política Salarial Individualizada)
</t>
        </r>
        <r>
          <rPr>
            <i/>
            <sz val="10"/>
            <color indexed="81"/>
            <rFont val="Arial Nova"/>
            <family val="2"/>
          </rPr>
          <t xml:space="preserve">
Son conceptos salariales que NO forman parte de la PSI por ser ayudas, labores puntuales como guardias, gratificaciones, bonificaciones, variables por alcanzar objetivos... 
Si en tu nómina aparecen estos conceptos salariales, súmalos e introduce el importe total.
En la pestaña de CONCEPTOS encontrarás los posibles Conceptos Salariales que pueden aparecer en tu nómina.
Los conceptos que debes introducir aquí:
   - NO se ven afectados por las subidas salariales de tablas ni por el aumento de la antigüedad.
   - NO absorben ninguna subida, ni de tablas ni de antigüedad.
   - </t>
        </r>
        <r>
          <rPr>
            <b/>
            <i/>
            <u/>
            <sz val="10"/>
            <color indexed="81"/>
            <rFont val="Arial Nova"/>
            <family val="2"/>
          </rPr>
          <t>COTIZAN</t>
        </r>
        <r>
          <rPr>
            <i/>
            <sz val="10"/>
            <color indexed="81"/>
            <rFont val="Arial Nova"/>
            <family val="2"/>
          </rPr>
          <t xml:space="preserve"> y </t>
        </r>
        <r>
          <rPr>
            <b/>
            <i/>
            <u/>
            <sz val="10"/>
            <color indexed="81"/>
            <rFont val="Arial Nova"/>
            <family val="2"/>
          </rPr>
          <t>TRIBUTAN</t>
        </r>
        <r>
          <rPr>
            <i/>
            <sz val="10"/>
            <color indexed="81"/>
            <rFont val="Arial Nova"/>
            <family val="2"/>
          </rPr>
          <t xml:space="preserve"> (se les aplica el % de cotización y el % de IRPF).
   - NO SE TIENEN EN CUENTA EN EL CÁLCULO DE INDEMNIZACIÓN POR DESPIDO.
Ejemplos:
  - Ayuda Personas Con Discapacidad</t>
        </r>
        <r>
          <rPr>
            <b/>
            <i/>
            <sz val="10"/>
            <color indexed="81"/>
            <rFont val="Arial Nova"/>
            <family val="2"/>
          </rPr>
          <t xml:space="preserve"> </t>
        </r>
        <r>
          <rPr>
            <i/>
            <sz val="10"/>
            <color indexed="81"/>
            <rFont val="Arial Nova"/>
            <family val="2"/>
          </rPr>
          <t xml:space="preserve">de 291,67 € para el colectivo de Tecnocom
  - Guardias
  - Intervenciones
  - Disponibilidades
  - Gratificaciones
</t>
        </r>
      </text>
    </comment>
    <comment ref="A32" authorId="0" shapeId="0" xr:uid="{C19EEB04-C9F9-416E-AE39-C526A302438F}">
      <text>
        <r>
          <rPr>
            <i/>
            <sz val="10"/>
            <color indexed="81"/>
            <rFont val="Arial Nova"/>
            <family val="2"/>
          </rPr>
          <t xml:space="preserve">
</t>
        </r>
        <r>
          <rPr>
            <b/>
            <i/>
            <sz val="10"/>
            <color indexed="81"/>
            <rFont val="Arial Nova"/>
            <family val="2"/>
          </rPr>
          <t xml:space="preserve">OTROS CONCEPTOS EXTRASALARIALES (que NO se tienen en cuenta en la PSI - Política Salarial Individualizada)
</t>
        </r>
        <r>
          <rPr>
            <i/>
            <sz val="10"/>
            <color indexed="81"/>
            <rFont val="Arial Nova"/>
            <family val="2"/>
          </rPr>
          <t xml:space="preserve">
Si en tu nómina aparecen otros conceptos EXTRAsalariales, súmalos e introduce el importe total.
En la pestaña de CONCEPTOS encontrarás los posibles Conceptos EXTRASalariales que pueden aparecer en tu nómina.
Se componen fundamentalmente de </t>
        </r>
        <r>
          <rPr>
            <b/>
            <i/>
            <sz val="10"/>
            <color indexed="81"/>
            <rFont val="Arial Nova"/>
            <family val="2"/>
          </rPr>
          <t>Gastos</t>
        </r>
        <r>
          <rPr>
            <i/>
            <sz val="10"/>
            <color indexed="81"/>
            <rFont val="Arial Nova"/>
            <family val="2"/>
          </rPr>
          <t xml:space="preserve"> que la persona trabajadora ha tenido que adelantar para realizar su labor (kilometraje, dietas, ...) o de </t>
        </r>
        <r>
          <rPr>
            <b/>
            <i/>
            <sz val="10"/>
            <color indexed="81"/>
            <rFont val="Arial Nova"/>
            <family val="2"/>
          </rPr>
          <t>Indemnizaciones</t>
        </r>
        <r>
          <rPr>
            <i/>
            <sz val="10"/>
            <color indexed="81"/>
            <rFont val="Arial Nova"/>
            <family val="2"/>
          </rPr>
          <t xml:space="preserve"> por traslados, despidos...
Los conceptos que debes introducir aquí:
   - NO se ven afectados por las subidas salariales de tablas ni por el aumento de la antigüedad.
   - NO absorben ninguna subida, ni de tablas ni de antigüedad.
   - COTIZAN </t>
        </r>
        <r>
          <rPr>
            <b/>
            <i/>
            <sz val="10"/>
            <color indexed="81"/>
            <rFont val="Arial Nova"/>
            <family val="2"/>
          </rPr>
          <t>pero NO TRIBUTAN</t>
        </r>
        <r>
          <rPr>
            <i/>
            <sz val="10"/>
            <color indexed="81"/>
            <rFont val="Arial Nova"/>
            <family val="2"/>
          </rPr>
          <t xml:space="preserve"> (se les aplica el % de cotización y NO el % de IRPF).
   - NO SE TIENEN EN CUENTA PARA EL CÁLCULO DE INDEMNIZACIONES
No sumes el Seg. Accidente Emp. que es un concepto extrasalarial porque ya viene incluído al final de la nómina.
</t>
        </r>
        <r>
          <rPr>
            <sz val="9"/>
            <color indexed="81"/>
            <rFont val="Tahoma"/>
            <family val="2"/>
          </rPr>
          <t xml:space="preserve">
</t>
        </r>
      </text>
    </comment>
    <comment ref="A33" authorId="0" shapeId="0" xr:uid="{EAEFC4E1-4833-4647-8BB4-BD7B27CF81A9}">
      <text>
        <r>
          <rPr>
            <b/>
            <i/>
            <sz val="10"/>
            <color indexed="81"/>
            <rFont val="Arial Nova"/>
            <family val="2"/>
          </rPr>
          <t xml:space="preserve">
SEGURO MÉDICO, GUARDERÍA... (Importe Negativo)
</t>
        </r>
        <r>
          <rPr>
            <i/>
            <sz val="10"/>
            <color indexed="81"/>
            <rFont val="Arial Nova"/>
            <family val="2"/>
          </rPr>
          <t xml:space="preserve">
Son servicios que contratamos a través de la empresa y que pagamos directamente en la nómina, por eso aparecen con importes negativos.
Normalmente tienen benefios fiscales por lo que están EXENTOS DE TRIBUTAR EN PARTE O EN SU TOTALIDAD.
</t>
        </r>
        <r>
          <rPr>
            <b/>
            <i/>
            <sz val="10"/>
            <color indexed="81"/>
            <rFont val="Arial Nova"/>
            <family val="2"/>
          </rPr>
          <t>Ejemplo de Exención enSeguros médicos</t>
        </r>
        <r>
          <rPr>
            <i/>
            <sz val="10"/>
            <color indexed="81"/>
            <rFont val="Arial Nova"/>
            <family val="2"/>
          </rPr>
          <t xml:space="preserve">
  - Trabajador/a exentos hasta 500€/año o hasta 1.500 si es una persona con discapacidad.
  - Cónyuge del trabajaro/a extento hasta 500€/año o hasta 1.500 si es una persona con discapacidad.
  - Descendientes menores de 25 años que convivan con el trabajador/a hasta 500€/año por descendiente o hasta 1.500 si es descendiente con discapacidad..
</t>
        </r>
      </text>
    </comment>
    <comment ref="A35" authorId="0" shapeId="0" xr:uid="{8520A66E-5865-482C-99E2-F7453A73E5C9}">
      <text>
        <r>
          <rPr>
            <i/>
            <sz val="10"/>
            <color indexed="81"/>
            <rFont val="Arial Nova"/>
            <family val="2"/>
          </rPr>
          <t xml:space="preserve">
</t>
        </r>
        <r>
          <rPr>
            <b/>
            <i/>
            <sz val="10"/>
            <color indexed="81"/>
            <rFont val="Arial Nova"/>
            <family val="2"/>
          </rPr>
          <t>COTIZACIÓN A LA SEGURIDAD SOCIAL POR CONTINGENCIAS COMUNES</t>
        </r>
        <r>
          <rPr>
            <i/>
            <sz val="10"/>
            <color indexed="81"/>
            <rFont val="Arial Nova"/>
            <family val="2"/>
          </rPr>
          <t xml:space="preserve">
Se destinan a cubrir las situaciones de incapacidad temporal o permanente derivadas de enfermedad común, maternidad, paternidad, jubilación y accidente no laboral. 
--------------------------------------------------------------------------------------------------------------------------------------------------------------------------------
</t>
        </r>
        <r>
          <rPr>
            <b/>
            <i/>
            <sz val="10"/>
            <color indexed="81"/>
            <rFont val="Arial Nova"/>
            <family val="2"/>
          </rPr>
          <t xml:space="preserve">BCCC (Base de Cotización por Contingencias Comunes) &gt;&gt; Cotizamos por TODOS LOS CONCEPTOS
</t>
        </r>
        <r>
          <rPr>
            <i/>
            <sz val="10"/>
            <color indexed="81"/>
            <rFont val="Arial Nova"/>
            <family val="2"/>
          </rPr>
          <t xml:space="preserve">Es la suma de 
       todos los DEVENGOS POSITIVOS
      + Seg. Accidente Emp.
      + la parte proporcional de las pagas extraordinarias (aunque cobremos en 14 pagas)
--------------------------------------------------------------------------------------------------------------------------------------------------------------------------------
Se cobre en 12 pagas o en 14 pagas, la cotización se realiza en 12 pagas porque la Seguridad Social trabaja en 12 meses. 
Es por ello, que si se cobra en 14 pagas, en la nómina de paga extra no aparece la cotización, porque ya se ha estado cotizando en el resto de pagas ordinarias mes a mes.
El 24,18% es a cargo de empresa y el 4,82% del trabajador (4,70% de contingencias comunes + 0,12% del MEI - Mecanismo de Equidad Intergeneracional)
--------------------------------------------------------------------------------------------------------------------------------------------------------------------------------
</t>
        </r>
        <r>
          <rPr>
            <b/>
            <i/>
            <sz val="10"/>
            <color indexed="81"/>
            <rFont val="Arial Nova"/>
            <family val="2"/>
          </rPr>
          <t>BCCP (Base de Cotización por Contingencias Profesionales) = BCCC + Horas Extraordinarias</t>
        </r>
        <r>
          <rPr>
            <i/>
            <sz val="10"/>
            <color indexed="81"/>
            <rFont val="Arial Nova"/>
            <family val="2"/>
          </rPr>
          <t xml:space="preserve">
--------------------------------------------------------------------------------------------------------------------------------------------------------------------------------
</t>
        </r>
      </text>
    </comment>
    <comment ref="A36" authorId="0" shapeId="0" xr:uid="{2D6EF2E7-8581-49AC-AFBD-D74985D602AC}">
      <text>
        <r>
          <rPr>
            <i/>
            <sz val="10"/>
            <color indexed="81"/>
            <rFont val="Arial Nova"/>
            <family val="2"/>
          </rPr>
          <t xml:space="preserve">
</t>
        </r>
        <r>
          <rPr>
            <b/>
            <i/>
            <sz val="10"/>
            <color indexed="81"/>
            <rFont val="Arial Nova"/>
            <family val="2"/>
          </rPr>
          <t>COTIZACIÓN A LA SEGURIDAD SOCIAL POR DESEMPLEO Y FORMACIÓN PROFESIONAL</t>
        </r>
        <r>
          <rPr>
            <i/>
            <sz val="10"/>
            <color indexed="81"/>
            <rFont val="Arial Nova"/>
            <family val="2"/>
          </rPr>
          <t xml:space="preserve">
</t>
        </r>
        <r>
          <rPr>
            <b/>
            <i/>
            <sz val="10"/>
            <color indexed="81"/>
            <rFont val="Arial Nova"/>
            <family val="2"/>
          </rPr>
          <t>Desempleo</t>
        </r>
        <r>
          <rPr>
            <i/>
            <sz val="10"/>
            <color indexed="81"/>
            <rFont val="Arial Nova"/>
            <family val="2"/>
          </rPr>
          <t xml:space="preserve"> = Es la recaudación que está destinada para la cobertura de desempleo, para las prestaciones y subsidios de los trabajadores y trabajadoras desempleadas. El empresario cotiza el 5,50% y el trabajador el 1,55% 
</t>
        </r>
        <r>
          <rPr>
            <b/>
            <i/>
            <sz val="10"/>
            <color indexed="81"/>
            <rFont val="Arial Nova"/>
            <family val="2"/>
          </rPr>
          <t>FP</t>
        </r>
        <r>
          <rPr>
            <i/>
            <sz val="10"/>
            <color indexed="81"/>
            <rFont val="Arial Nova"/>
            <family val="2"/>
          </rPr>
          <t xml:space="preserve"> = Formación Profesional: Destinada a la formación y reciclaje de los trabajadores y trabajadoras. Cotiza al 0,60% la empresa y el 0,10% la persona trabajadora. 
</t>
        </r>
        <r>
          <rPr>
            <b/>
            <i/>
            <sz val="10"/>
            <color indexed="81"/>
            <rFont val="Arial Nova"/>
            <family val="2"/>
          </rPr>
          <t>Total</t>
        </r>
        <r>
          <rPr>
            <i/>
            <sz val="10"/>
            <color indexed="81"/>
            <rFont val="Arial Nova"/>
            <family val="2"/>
          </rPr>
          <t xml:space="preserve"> parte trabajadora = </t>
        </r>
        <r>
          <rPr>
            <b/>
            <i/>
            <sz val="10"/>
            <color indexed="81"/>
            <rFont val="Arial Nova"/>
            <family val="2"/>
          </rPr>
          <t>1,65%</t>
        </r>
        <r>
          <rPr>
            <sz val="9"/>
            <color indexed="81"/>
            <rFont val="Tahoma"/>
            <family val="2"/>
          </rPr>
          <t xml:space="preserve">
</t>
        </r>
        <r>
          <rPr>
            <sz val="10"/>
            <color indexed="81"/>
            <rFont val="Arial Nova"/>
            <family val="2"/>
          </rPr>
          <t xml:space="preserve">
--------------------------------------------------------------------------------------------------------------------------------------------------------------------------------
</t>
        </r>
        <r>
          <rPr>
            <b/>
            <i/>
            <sz val="10"/>
            <color indexed="81"/>
            <rFont val="Arial Nova"/>
            <family val="2"/>
          </rPr>
          <t>BCCC (Base de Cotización por Contingencias Comunes) &gt;&gt; Cotizamos por TODOS LOS CONCEPTOS</t>
        </r>
        <r>
          <rPr>
            <i/>
            <sz val="10"/>
            <color indexed="81"/>
            <rFont val="Arial Nova"/>
            <family val="2"/>
          </rPr>
          <t xml:space="preserve">
Es la suma de 
       todos los DEVENGOS POSITIVOS
      + Seg. Accidente Emp.
      + la parte proporcional de las pagas extraordinarias (aunque cobremos en 14 pagas)
</t>
        </r>
        <r>
          <rPr>
            <b/>
            <i/>
            <sz val="10"/>
            <color indexed="81"/>
            <rFont val="Arial Nova"/>
            <family val="2"/>
          </rPr>
          <t>BCCP (Base de Cotización por Contingencisa Profesionales) = BCCC + Horas Extraordinarias</t>
        </r>
        <r>
          <rPr>
            <sz val="10"/>
            <color indexed="81"/>
            <rFont val="Arial Nova"/>
            <family val="2"/>
          </rPr>
          <t xml:space="preserve">
--------------------------------------------------------------------------------------------------------------------------------------------------------------------------------</t>
        </r>
      </text>
    </comment>
    <comment ref="A37" authorId="0" shapeId="0" xr:uid="{132881D9-7E74-4D3B-8A88-A09E6A412311}">
      <text>
        <r>
          <rPr>
            <i/>
            <sz val="10"/>
            <color indexed="81"/>
            <rFont val="Arial Nova"/>
            <family val="2"/>
          </rPr>
          <t xml:space="preserve">
</t>
        </r>
        <r>
          <rPr>
            <b/>
            <i/>
            <sz val="10"/>
            <color indexed="81"/>
            <rFont val="Arial Nova"/>
            <family val="2"/>
          </rPr>
          <t>IMPUESTO SOBRE LA RENTA DE LAS PERSONAS FÍSICAS (IRPF)</t>
        </r>
        <r>
          <rPr>
            <i/>
            <sz val="10"/>
            <color indexed="81"/>
            <rFont val="Arial Nova"/>
            <family val="2"/>
          </rPr>
          <t xml:space="preserve">
Es el adelanto que corresponde contribuir en la Declaración de la Renta del año siguiente. El porcentaje de retención en el IRPF es variable. El tipo impositivo del IRPF corresponde a las retribuciones recibidas por rentas del trabajo. Para aplicar el tipo correspondiente, es necesario saber la situación personal (año de nacimiento, grado de discapacidad si procede, si reside en Ceuta y Melilla); la situación familiar (estado civil e ingresos del cónyuge, descendientes y ascendientes) y el tipo del contrato. 
El % de IRPF se aplica sobre la BASE DE TRIBUTACIÓN.
--------------------------------------------------------------------------------------------------------------------------------------------------------------------------------------------
</t>
        </r>
        <r>
          <rPr>
            <b/>
            <i/>
            <sz val="10"/>
            <color indexed="81"/>
            <rFont val="Arial Nova"/>
            <family val="2"/>
          </rPr>
          <t>BASE DE TRIBUTACIÓN</t>
        </r>
        <r>
          <rPr>
            <i/>
            <sz val="10"/>
            <color indexed="81"/>
            <rFont val="Arial Nova"/>
            <family val="2"/>
          </rPr>
          <t xml:space="preserve"> = suma de todos los DEVENGOS positivos y negativos de CONCEPTOS SALARIALES.
 NO INCLUIDOS LOS CONCEPTOS EXTRASALARIALES NI EL SEG. ACCIDENTE EMP.
--------------------------------------------------------------------------------------------------------------------------------------------------------------------------------------------</t>
        </r>
        <r>
          <rPr>
            <sz val="9"/>
            <color indexed="81"/>
            <rFont val="Tahoma"/>
            <family val="2"/>
          </rPr>
          <t xml:space="preserve">
</t>
        </r>
      </text>
    </comment>
    <comment ref="A38" authorId="0" shapeId="0" xr:uid="{0A3B2047-0B54-4817-9A1A-99F29F7F5164}">
      <text>
        <r>
          <rPr>
            <i/>
            <sz val="10"/>
            <color indexed="81"/>
            <rFont val="Arial Nova"/>
            <family val="2"/>
          </rPr>
          <t xml:space="preserve">------------------------------------------------------------------------------------------------------------------------------------------------------------------------------------------------
</t>
        </r>
        <r>
          <rPr>
            <b/>
            <i/>
            <sz val="10"/>
            <color indexed="81"/>
            <rFont val="Arial Nova"/>
            <family val="2"/>
          </rPr>
          <t>EXENCIONES DE TRIBUTAR SEGÚN HACIENDA</t>
        </r>
        <r>
          <rPr>
            <i/>
            <sz val="10"/>
            <color indexed="81"/>
            <rFont val="Arial Nova"/>
            <family val="2"/>
          </rPr>
          <t xml:space="preserve">
------------------------------------------------------------------------------------------------------------------------------------------------------------------------------------------------
</t>
        </r>
        <r>
          <rPr>
            <b/>
            <i/>
            <sz val="10"/>
            <color indexed="81"/>
            <rFont val="Arial Nova"/>
            <family val="2"/>
          </rPr>
          <t>GASTOS DE LOCOMOCIÓN EXENTOS</t>
        </r>
        <r>
          <rPr>
            <i/>
            <sz val="10"/>
            <color indexed="81"/>
            <rFont val="Arial Nova"/>
            <family val="2"/>
          </rPr>
          <t xml:space="preserve">
 - íntegramente exentos los desplazamientos en transporte público, como taxis
 - </t>
        </r>
        <r>
          <rPr>
            <b/>
            <i/>
            <sz val="10"/>
            <color indexed="81"/>
            <rFont val="Arial Nova"/>
            <family val="2"/>
          </rPr>
          <t xml:space="preserve">exentos hasta 0,26 €/Km </t>
        </r>
        <r>
          <rPr>
            <i/>
            <sz val="10"/>
            <color indexed="81"/>
            <rFont val="Arial Nova"/>
            <family val="2"/>
          </rPr>
          <t xml:space="preserve">cuando el trabajador/a hace uso de su propio vehículo (El convenio sectorial de informática indica que el kilometraje se paga en 2024 a 0,23€/Km, en 2025 a 0,26€/Km, en 2026 a 0,27€/Km y en 2027 a 0,28€/Km, por lo que a partir del 2026 habría que tributar 0,01€/Km realizado si Hacienda no aumenta la cantidad exenta por Km)
</t>
        </r>
        <r>
          <rPr>
            <b/>
            <i/>
            <sz val="10"/>
            <color indexed="81"/>
            <rFont val="Arial Nova"/>
            <family val="2"/>
          </rPr>
          <t>GASTOS DE MANUTENCIÓN Y ESTANCIAS</t>
        </r>
        <r>
          <rPr>
            <i/>
            <sz val="10"/>
            <color indexed="81"/>
            <rFont val="Arial Nova"/>
            <family val="2"/>
          </rPr>
          <t xml:space="preserve">
 - gastos de estancia íntegramente exentos (el hotel para la pernocta)
 - gastos de manutención
      - si hay pernocta y el desplazamiento es en territorio español, exentos hasta 53,34 €/día
      - si hay pernocta y el desplazamiento es en el extranjero, exentos hasta 91,5 €/día
      - si NO hay pernocta y el desplazamiento es en territorio español, </t>
        </r>
        <r>
          <rPr>
            <b/>
            <i/>
            <sz val="10"/>
            <color indexed="81"/>
            <rFont val="Arial Nova"/>
            <family val="2"/>
          </rPr>
          <t>exentos hasta 26,67 €/día</t>
        </r>
        <r>
          <rPr>
            <i/>
            <sz val="10"/>
            <color indexed="81"/>
            <rFont val="Arial Nova"/>
            <family val="2"/>
          </rPr>
          <t xml:space="preserve">
      - si NO hay pernocta y el desplazamiento es en el extranjero, exentos hasta 48,08 €/día
</t>
        </r>
        <r>
          <rPr>
            <b/>
            <i/>
            <sz val="10"/>
            <color indexed="81"/>
            <rFont val="Arial Nova"/>
            <family val="2"/>
          </rPr>
          <t>SEGUROS DE ACCIDENTE LABORAL O RESPONSABILIDAD CIVIL</t>
        </r>
        <r>
          <rPr>
            <i/>
            <sz val="10"/>
            <color indexed="81"/>
            <rFont val="Arial Nova"/>
            <family val="2"/>
          </rPr>
          <t xml:space="preserve">
Las primas o cuotas satisfechas por la empresa en virtud de contrato de seguro de accidente laboral o de responsabilidad civil del trabajador. (El concepto "Seg. Accidente Emp." que aparece en nuestras nóminas está exento)
</t>
        </r>
        <r>
          <rPr>
            <b/>
            <i/>
            <sz val="10"/>
            <color indexed="81"/>
            <rFont val="Arial Nova"/>
            <family val="2"/>
          </rPr>
          <t>SEGUROS DE ENFERMEDAD</t>
        </r>
        <r>
          <rPr>
            <i/>
            <sz val="10"/>
            <color indexed="81"/>
            <rFont val="Arial Nova"/>
            <family val="2"/>
          </rPr>
          <t xml:space="preserve">
Las primas o cuotas satisfechas a entidades aseguradoras para la cobertura de enfermedad cuando se cumplan los siguientes requisitos y límites:
a) Que la cobertura de enfermedad alcance al propio trabajador, pudiendo también alcanzar a su cónyuge y descendientes.
b) Que las primas o cuotas satisfechas </t>
        </r>
        <r>
          <rPr>
            <b/>
            <i/>
            <sz val="10"/>
            <color indexed="81"/>
            <rFont val="Arial Nova"/>
            <family val="2"/>
          </rPr>
          <t>no excedan de 500 euros anuales por cada una de las personas señaladas, o de 1.500 para cada una de ellas que sean personas con discapacidad</t>
        </r>
        <r>
          <rPr>
            <i/>
            <sz val="10"/>
            <color indexed="81"/>
            <rFont val="Arial Nova"/>
            <family val="2"/>
          </rPr>
          <t>. El exceso sobre dicha cuantía constituirá retribución en especie.
------------------------------------------------------------------------------------------------------------------------------------------------------------------------------------------------
Las cantidades que aparecen en el apartado de Retención Especial, son las cantidades no exentas de tributar de los casos anteriores.
Si tenemos contratado un seguro médico para una persona, que nos cuesta por cada persona 780€ al año, tendremos que tributar por la parte que NO está exenta, que es 780-500 = 280€ / 14 = 20 € /paga.
Si la empresa nos pagara una dieta de 30€ sin pernoctar en un desplazamiento en España, tendríamos que tributar por los 3,33€ que no están exentos (30€ - 26,67€).
Si la empresa nos pagara a 0,30€/Km, deberíamos tributar 0,04€/Km.</t>
        </r>
      </text>
    </comment>
    <comment ref="A44" authorId="0" shapeId="0" xr:uid="{FFFF9D55-1578-4450-A36C-662063BBE5F6}">
      <text>
        <r>
          <rPr>
            <b/>
            <i/>
            <sz val="10"/>
            <color indexed="81"/>
            <rFont val="Arial Nova"/>
            <family val="2"/>
          </rPr>
          <t xml:space="preserve">TOTALES
</t>
        </r>
        <r>
          <rPr>
            <i/>
            <sz val="10"/>
            <color indexed="81"/>
            <rFont val="Arial Nova"/>
            <family val="2"/>
          </rPr>
          <t>Es la suma de todos los DEVENGOS (incluidos los devengos negativos)
Es la suma de todos los DESCUENTOS (lo que cotizas a la Seguridad Social y lo que Tributas a Hacienda)
NOTA: El Seg. Accidente Emp. lo percibimos como retribución en especie por eso no se suma a los DEVENGOS, aunque si cotizamos por el pero no tributamos por el.</t>
        </r>
        <r>
          <rPr>
            <b/>
            <i/>
            <sz val="10"/>
            <color indexed="81"/>
            <rFont val="Arial Nova"/>
            <family val="2"/>
          </rPr>
          <t xml:space="preserve">
LÍQUIDO
</t>
        </r>
        <r>
          <rPr>
            <i/>
            <sz val="10"/>
            <color indexed="81"/>
            <rFont val="Arial Nova"/>
            <family val="2"/>
          </rPr>
          <t xml:space="preserve">Líquido a percibir es la cantidad NETA que la persona trabajadora percibirá como salario. 
Es la acción de sumar los devengos menos las deducciones o descuentos, para obtener el salario neto, que es la cantidad que nos ingresan en nuestra cuenta bancaria.
</t>
        </r>
      </text>
    </comment>
    <comment ref="A45" authorId="0" shapeId="0" xr:uid="{F5321C67-E6F8-4BCC-96D9-6D645EA39E70}">
      <text>
        <r>
          <rPr>
            <b/>
            <i/>
            <sz val="10"/>
            <color indexed="81"/>
            <rFont val="Arial Nova"/>
            <family val="2"/>
          </rPr>
          <t xml:space="preserve">
SMI (Salario Mínimo Interprofesional)
</t>
        </r>
        <r>
          <rPr>
            <i/>
            <sz val="10"/>
            <color indexed="81"/>
            <rFont val="Arial Nova"/>
            <family val="2"/>
          </rPr>
          <t xml:space="preserve">
Ningún trabajadora o trabajadora puede cobrar menos que el SMI estipulado para el año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Perez Martinez, Maria Carmen</author>
  </authors>
  <commentList>
    <comment ref="A25" authorId="0" shapeId="0" xr:uid="{D47C9F35-1D26-4FFE-9431-4FBDA949054B}">
      <text>
        <r>
          <rPr>
            <b/>
            <i/>
            <sz val="10"/>
            <color indexed="81"/>
            <rFont val="Arial Nova"/>
            <family val="2"/>
          </rPr>
          <t xml:space="preserve">
 % Jornada Trabajada
</t>
        </r>
        <r>
          <rPr>
            <i/>
            <sz val="10"/>
            <color indexed="81"/>
            <rFont val="Arial Nova"/>
            <family val="2"/>
          </rPr>
          <t xml:space="preserve">
 Indica en cada periodo el % de Jornada Trabajada.
 En jornada de verano las personas que tienen jornada reducida suelen trabajar al 100% y el resto de periodos con la reducción que necesitan.</t>
        </r>
      </text>
    </comment>
    <comment ref="A28" authorId="0" shapeId="0" xr:uid="{00E410D6-FD34-406B-8D04-3B10C39EEA7F}">
      <text>
        <r>
          <rPr>
            <b/>
            <i/>
            <sz val="10"/>
            <color indexed="81"/>
            <rFont val="Arial Nova"/>
            <family val="2"/>
          </rPr>
          <t xml:space="preserve">
 Categoría
</t>
        </r>
        <r>
          <rPr>
            <i/>
            <sz val="10"/>
            <color indexed="81"/>
            <rFont val="Arial Nova"/>
            <family val="2"/>
          </rPr>
          <t xml:space="preserve">
 Selecciona la categoría que aparece en tu nómina para cada periodo </t>
        </r>
      </text>
    </comment>
    <comment ref="A29" authorId="0" shapeId="0" xr:uid="{37E84A51-859B-4395-BFC1-A353C4DF67C8}">
      <text>
        <r>
          <rPr>
            <b/>
            <i/>
            <sz val="10"/>
            <color indexed="81"/>
            <rFont val="Arial Nova"/>
            <family val="2"/>
          </rPr>
          <t xml:space="preserve">
 Tablas aplicadas
</t>
        </r>
        <r>
          <rPr>
            <i/>
            <sz val="10"/>
            <color indexed="81"/>
            <rFont val="Arial Nova"/>
            <family val="2"/>
          </rPr>
          <t xml:space="preserve">
Según la categoría de tu nómina en cada periodo y las tablas de convenio aplicadas se obtiene tu Salario Base y tu Plus Convenio.
 Verifica que el importe de tu nómina coincide exactamente con el importe que aparece aquí, si no coincide:
   (1) verifica que el % de jornada trabajada del periodo es correcto
   (2) selecciona otra opción de tablas aplicadas hasta que coincida exactamente el importe que aparece en salario base con el importe de tu nómina del periodo.</t>
        </r>
      </text>
    </comment>
    <comment ref="A30" authorId="0" shapeId="0" xr:uid="{D366A300-2312-49BC-B336-02C903DD28E0}">
      <text>
        <r>
          <rPr>
            <b/>
            <i/>
            <sz val="10"/>
            <color indexed="81"/>
            <rFont val="Arial Nova"/>
            <family val="2"/>
          </rPr>
          <t xml:space="preserve">
 Salario Base
</t>
        </r>
        <r>
          <rPr>
            <i/>
            <sz val="10"/>
            <color indexed="81"/>
            <rFont val="Arial Nova"/>
            <family val="2"/>
          </rPr>
          <t xml:space="preserve">
Según tu categoría te corresponde un Salario Base u otro de los indicados en las Tablas del Convenio Sectorial</t>
        </r>
      </text>
    </comment>
    <comment ref="A31" authorId="0" shapeId="0" xr:uid="{353D0790-8361-40EE-8E09-5ABE5D194A7C}">
      <text>
        <r>
          <rPr>
            <b/>
            <i/>
            <sz val="10"/>
            <color indexed="81"/>
            <rFont val="Arial Nova"/>
            <family val="2"/>
          </rPr>
          <t xml:space="preserve">
 Ex Salario Base 2022
</t>
        </r>
        <r>
          <rPr>
            <i/>
            <sz val="10"/>
            <color indexed="81"/>
            <rFont val="Arial Nova"/>
            <family val="2"/>
          </rPr>
          <t xml:space="preserve">
 Se produjo una reclasificación profesional cuando se crearon las áreas, grupos y niveles en el convenio sectorial.
 Hay personas, cuyas categoría destino tenían un salario base inferior a su categoría origen.
 La diferencia entre estos salarios base quedó almacenada en este concepto que opera a todos los efectos como el salario base:
 - Se le aplica también los incrementos de tablas del convenio (un 4% en 2025, un 3% en 2026 y un 3% en 2027)
 - Se suma al salario base para calcular tu antigüedad</t>
        </r>
      </text>
    </comment>
    <comment ref="A32" authorId="0" shapeId="0" xr:uid="{841605ED-647C-4B56-9888-29C5429D127A}">
      <text>
        <r>
          <rPr>
            <b/>
            <i/>
            <sz val="10"/>
            <color indexed="81"/>
            <rFont val="Arial Nova"/>
            <family val="2"/>
          </rPr>
          <t xml:space="preserve">
 Plus Convenio
</t>
        </r>
        <r>
          <rPr>
            <i/>
            <sz val="10"/>
            <color indexed="81"/>
            <rFont val="Arial Nova"/>
            <family val="2"/>
          </rPr>
          <t xml:space="preserve">
Según tu categoría te corresponde un Plus Convenio u otro de los indicados en las Tablas del Convenio Sectorial</t>
        </r>
      </text>
    </comment>
    <comment ref="A33" authorId="0" shapeId="0" xr:uid="{C9C6F8A1-0B39-4D63-881B-299290F6CF82}">
      <text>
        <r>
          <rPr>
            <b/>
            <i/>
            <sz val="10"/>
            <color indexed="81"/>
            <rFont val="Arial Nova"/>
            <family val="2"/>
          </rPr>
          <t xml:space="preserve">
 Ex Plus Convenio 2022
</t>
        </r>
        <r>
          <rPr>
            <i/>
            <sz val="10"/>
            <color indexed="81"/>
            <rFont val="Arial Nova"/>
            <family val="2"/>
          </rPr>
          <t xml:space="preserve">
 Se produjo una reclasificación profesional cuando se crearon las áreas, grupos y niveles en el convenio sectorial.
 Hay personas, cuyas categoría destino tenían un plus convenio inferior al de su categoría origen.
 La diferencia entre estos pluses de convenio quedó almacenada en este concepto que opera a todos los efectos como el plus convenio.
 - Se le aplica también los incrementos de tablas del convenio (un 4% en 2025, un 3% en 2026 y un 3% en 2027)
</t>
        </r>
      </text>
    </comment>
    <comment ref="A34" authorId="0" shapeId="0" xr:uid="{B30A2D5D-B3CA-41E7-B7BE-914F3AAD821E}">
      <text>
        <r>
          <rPr>
            <b/>
            <i/>
            <sz val="10"/>
            <color indexed="81"/>
            <rFont val="Arial Nova"/>
            <family val="2"/>
          </rPr>
          <t xml:space="preserve">
 Antigüedad
</t>
        </r>
        <r>
          <rPr>
            <i/>
            <sz val="10"/>
            <color indexed="81"/>
            <rFont val="Arial Nova"/>
            <family val="2"/>
          </rPr>
          <t xml:space="preserve">
 Es un % sobre tu salario base (y sobre tu ex salario base 2022 si lo tienes) según los años que lleves en la empresa.
</t>
        </r>
      </text>
    </comment>
    <comment ref="A35" authorId="0" shapeId="0" xr:uid="{BF994977-95B9-4F23-B594-259B8A42117A}">
      <text>
        <r>
          <rPr>
            <b/>
            <i/>
            <sz val="10"/>
            <color indexed="81"/>
            <rFont val="Arial Nova"/>
            <family val="2"/>
          </rPr>
          <t xml:space="preserve">
 Complemento Absorbible
</t>
        </r>
        <r>
          <rPr>
            <i/>
            <sz val="10"/>
            <color indexed="81"/>
            <rFont val="Arial Nova"/>
            <family val="2"/>
          </rPr>
          <t xml:space="preserve">
 Es un importe que puede absorber tanto subidas de tablas salariales como aumento de antigüedad
</t>
        </r>
      </text>
    </comment>
    <comment ref="A36" authorId="0" shapeId="0" xr:uid="{329CECFD-7055-4B92-BC9E-F8AB72CF932D}">
      <text>
        <r>
          <rPr>
            <b/>
            <i/>
            <sz val="10"/>
            <color indexed="81"/>
            <rFont val="Arial Nova"/>
            <family val="2"/>
          </rPr>
          <t xml:space="preserve">
 Complemento que Absorbe Antigüedad / Complemento Salarial Pactado
</t>
        </r>
        <r>
          <rPr>
            <i/>
            <sz val="10"/>
            <color indexed="81"/>
            <rFont val="Arial Nova"/>
            <family val="2"/>
          </rPr>
          <t xml:space="preserve">
 Es un complemento que ÚNICAMENTE puede absorber el importe que aumenta tu antigüedad cuando cumples un nuevo trienio.
 No puede absorber lo que aumenta tu antigüedad al aumentar el salario base sobre el que se calcula el % de antigüedad.
</t>
        </r>
        <r>
          <rPr>
            <b/>
            <i/>
            <sz val="10"/>
            <color indexed="81"/>
            <rFont val="Arial Nova"/>
            <family val="2"/>
          </rPr>
          <t>OJO!!</t>
        </r>
        <r>
          <rPr>
            <i/>
            <sz val="10"/>
            <color indexed="81"/>
            <rFont val="Arial Nova"/>
            <family val="2"/>
          </rPr>
          <t xml:space="preserve"> Revisa el importe de este complemento para cada periodo, porque aquí se muestra una previsión de lo que podría ser con anterioridad, sumando el trienio si en algún periodo se ha cumplido nuevo trienio.</t>
        </r>
      </text>
    </comment>
    <comment ref="A37" authorId="0" shapeId="0" xr:uid="{72288B3E-6F9F-49B6-85FF-03921EEB6B04}">
      <text>
        <r>
          <rPr>
            <b/>
            <i/>
            <sz val="10"/>
            <color indexed="81"/>
            <rFont val="Arial Nova"/>
            <family val="2"/>
          </rPr>
          <t xml:space="preserve">
 14 pagas / 12 pagas &gt;&gt; Prorrata Paga Extraordinaria 
</t>
        </r>
        <r>
          <rPr>
            <i/>
            <sz val="10"/>
            <color indexed="81"/>
            <rFont val="Arial Nova"/>
            <family val="2"/>
          </rPr>
          <t xml:space="preserve">
 - Si cobras en 12 pagas, en tu nómina aparece un concepto denominado Prorrata Paga Extraordinaria porque cada mes cobras la parte proporcional de las pagas extraordinarias.
 - Si cobras en 14 pagas, en tu nómina no aparece este concepto, porque cobras una paga extraordinaria en verano y otra paga extraordinaria en navidad.
 - Selecciona del desplegable el concepto de "Prorrata Paga Extraordinaria" si lo tienes en tu nómina o la opción en blanco si no aparece en tu nómina.</t>
        </r>
      </text>
    </comment>
    <comment ref="A38" authorId="0" shapeId="0" xr:uid="{0B9B87FB-56CE-43FD-B897-3729F185F684}">
      <text>
        <r>
          <rPr>
            <b/>
            <i/>
            <sz val="10"/>
            <color indexed="81"/>
            <rFont val="Arial Nova"/>
            <family val="2"/>
          </rPr>
          <t xml:space="preserve">
 Gastos Teletrabajo
</t>
        </r>
        <r>
          <rPr>
            <i/>
            <sz val="10"/>
            <color indexed="81"/>
            <rFont val="Arial Nova"/>
            <family val="2"/>
          </rPr>
          <t xml:space="preserve">
 Introduce lo que tienes en nómina según la modalidad de trabajo en el periodo concreto.
</t>
        </r>
      </text>
    </comment>
    <comment ref="A39" authorId="0" shapeId="0" xr:uid="{10260154-A96B-4FA0-955E-186F20BC7B24}">
      <text>
        <r>
          <rPr>
            <b/>
            <i/>
            <sz val="10"/>
            <color indexed="81"/>
            <rFont val="Arial Nova"/>
            <family val="2"/>
          </rPr>
          <t xml:space="preserve">
  SUMATORIO de  Otros Conceptos
</t>
        </r>
        <r>
          <rPr>
            <i/>
            <sz val="10"/>
            <color indexed="81"/>
            <rFont val="Arial Nova"/>
            <family val="2"/>
          </rPr>
          <t xml:space="preserve">
 Introduce aquí la suma del resto de conceptos de tu nómina, pues no se ven afectados por los incrementos ni de tablas ni de antigüedad. 
</t>
        </r>
      </text>
    </comment>
  </commentList>
</comments>
</file>

<file path=xl/sharedStrings.xml><?xml version="1.0" encoding="utf-8"?>
<sst xmlns="http://schemas.openxmlformats.org/spreadsheetml/2006/main" count="1643" uniqueCount="604">
  <si>
    <t>EMPRESA</t>
  </si>
  <si>
    <t>CIF</t>
  </si>
  <si>
    <t>CENTRO DE TRABAJO</t>
  </si>
  <si>
    <t>CCC SEG. SOCIAL</t>
  </si>
  <si>
    <t>TRABAJADOR/A</t>
  </si>
  <si>
    <t>NIF</t>
  </si>
  <si>
    <t>Nº AFILIACIÓN S.SOCIAL</t>
  </si>
  <si>
    <t>% JORNADA</t>
  </si>
  <si>
    <t>GRUPO TARIFA</t>
  </si>
  <si>
    <t>ANTIGÜEDAD</t>
  </si>
  <si>
    <t>CATEGORÍA / GRUPO PROFESIONAL</t>
  </si>
  <si>
    <t>PERIODO DE LIQUIDACIÓN</t>
  </si>
  <si>
    <t>DÍAS</t>
  </si>
  <si>
    <t>CONCEPTOS</t>
  </si>
  <si>
    <t>UNIDADES</t>
  </si>
  <si>
    <t>IMPORTE</t>
  </si>
  <si>
    <t>DEVENGOS</t>
  </si>
  <si>
    <t>DESCUENTOS</t>
  </si>
  <si>
    <t>Salario Base</t>
  </si>
  <si>
    <t>Plus Convenio</t>
  </si>
  <si>
    <t>Antigüedad</t>
  </si>
  <si>
    <t>Prorrata Pagas Extraordinarias</t>
  </si>
  <si>
    <t>Gastos Teletrabajo</t>
  </si>
  <si>
    <t>Complemento Absorbible</t>
  </si>
  <si>
    <t>Retención a Cuenta IRPF</t>
  </si>
  <si>
    <t>TOTALES</t>
  </si>
  <si>
    <t>LÍQUIDO</t>
  </si>
  <si>
    <t>Total 2024</t>
  </si>
  <si>
    <t>A</t>
  </si>
  <si>
    <t>1.A.1</t>
  </si>
  <si>
    <t>B</t>
  </si>
  <si>
    <t>1.B.1</t>
  </si>
  <si>
    <t>1.B.2</t>
  </si>
  <si>
    <t>C</t>
  </si>
  <si>
    <t>1.C.1</t>
  </si>
  <si>
    <t>1.C.2</t>
  </si>
  <si>
    <t>1.C.3</t>
  </si>
  <si>
    <t>D</t>
  </si>
  <si>
    <t>1.D.1</t>
  </si>
  <si>
    <t>1.D.2</t>
  </si>
  <si>
    <t>1.D.3</t>
  </si>
  <si>
    <t>E</t>
  </si>
  <si>
    <t>1.E.1</t>
  </si>
  <si>
    <t>1.E.2</t>
  </si>
  <si>
    <t>2.A.1</t>
  </si>
  <si>
    <t>2.B.1</t>
  </si>
  <si>
    <t>2.B.2</t>
  </si>
  <si>
    <t>2.C.1</t>
  </si>
  <si>
    <t>2.C.2</t>
  </si>
  <si>
    <t>2.C.3</t>
  </si>
  <si>
    <t>2.D.1</t>
  </si>
  <si>
    <t>2.D.2</t>
  </si>
  <si>
    <t>2.D.3</t>
  </si>
  <si>
    <t>2.E.1</t>
  </si>
  <si>
    <t>2.E.2</t>
  </si>
  <si>
    <t>3.A.1</t>
  </si>
  <si>
    <t>3.B.1</t>
  </si>
  <si>
    <t>3.B.2</t>
  </si>
  <si>
    <t>3.C.1</t>
  </si>
  <si>
    <t>3.C.2</t>
  </si>
  <si>
    <t>3.C.3</t>
  </si>
  <si>
    <t>3.D.1</t>
  </si>
  <si>
    <t>3.D.2</t>
  </si>
  <si>
    <t>3.D.3</t>
  </si>
  <si>
    <t>3.E.1</t>
  </si>
  <si>
    <t>3.E.2</t>
  </si>
  <si>
    <t>4.A.1</t>
  </si>
  <si>
    <t>4.B.1</t>
  </si>
  <si>
    <t>4.B.2</t>
  </si>
  <si>
    <t>4.C.1</t>
  </si>
  <si>
    <t>4.C.2</t>
  </si>
  <si>
    <t>4.C.3</t>
  </si>
  <si>
    <t>4.D.1</t>
  </si>
  <si>
    <t>4.D.2</t>
  </si>
  <si>
    <t>4.D.3</t>
  </si>
  <si>
    <t>4.E.1</t>
  </si>
  <si>
    <t>4.E.2</t>
  </si>
  <si>
    <t>5.A.1</t>
  </si>
  <si>
    <t>5.B.1</t>
  </si>
  <si>
    <t>5.B.2</t>
  </si>
  <si>
    <t>5.C.1</t>
  </si>
  <si>
    <t>5.C.2</t>
  </si>
  <si>
    <t>5.C.3</t>
  </si>
  <si>
    <t>5.D.1</t>
  </si>
  <si>
    <t>5.D.2</t>
  </si>
  <si>
    <t>5.D.3</t>
  </si>
  <si>
    <t>5.E.1</t>
  </si>
  <si>
    <t>5.E.2</t>
  </si>
  <si>
    <t>DEL</t>
  </si>
  <si>
    <t>TGM</t>
  </si>
  <si>
    <t>TGS</t>
  </si>
  <si>
    <t>Delineante</t>
  </si>
  <si>
    <t>Titulado/a Grado Medio</t>
  </si>
  <si>
    <t>Titulado/a Grado Superior</t>
  </si>
  <si>
    <t>CÓDIGO CATEGORÍA</t>
  </si>
  <si>
    <t>Area 1 Grupo A Nivel 1</t>
  </si>
  <si>
    <t>Area 1 Grupo B Nivel 1</t>
  </si>
  <si>
    <t>Area 1 Grupo B Nivel 2</t>
  </si>
  <si>
    <t>Area 1 Grupo C Nivel 1</t>
  </si>
  <si>
    <t>Area 1 Grupo C Nivel 2</t>
  </si>
  <si>
    <t>Area 1 Grupo C Nivel 3</t>
  </si>
  <si>
    <t>Area 1 Grupo D Nivel 1</t>
  </si>
  <si>
    <t>Area 1 Grupo D Nivel 2</t>
  </si>
  <si>
    <t>Area 1 Grupo D Nivel 3</t>
  </si>
  <si>
    <t>Area 1 Grupo E Nivel 1</t>
  </si>
  <si>
    <t>Area 1 Grupo E Nivel 2</t>
  </si>
  <si>
    <t>Area 2 Grupo A Nivel 1</t>
  </si>
  <si>
    <t>Area 2 Grupo B Nivel 1</t>
  </si>
  <si>
    <t>Area 2 Grupo B Nivel 2</t>
  </si>
  <si>
    <t>Area 2 Grupo C Nivel 1</t>
  </si>
  <si>
    <t>Area 2 Grupo C Nivel 2</t>
  </si>
  <si>
    <t>Area 2 Grupo C Nivel 3</t>
  </si>
  <si>
    <t>Area 2 Grupo D Nivel 1</t>
  </si>
  <si>
    <t>Area 2 Grupo D Nivel 2</t>
  </si>
  <si>
    <t>Area 2 Grupo D Nivel 3</t>
  </si>
  <si>
    <t>Area 2 Grupo E Nivel 1</t>
  </si>
  <si>
    <t>Area 2 Grupo E Nivel 2</t>
  </si>
  <si>
    <t>Area 3 Grupo A Nivel 1</t>
  </si>
  <si>
    <t>Area 3 Grupo B Nivel 1</t>
  </si>
  <si>
    <t>Area 3 Grupo B Nivel 2</t>
  </si>
  <si>
    <t>Area 3 Grupo C Nivel 1</t>
  </si>
  <si>
    <t>Area 3 Grupo C Nivel 2</t>
  </si>
  <si>
    <t>Area 3 Grupo C Nivel 3</t>
  </si>
  <si>
    <t>Area 3 Grupo D Nivel 1</t>
  </si>
  <si>
    <t>Area 3 Grupo D Nivel 2</t>
  </si>
  <si>
    <t>Area 3 Grupo D Nivel 3</t>
  </si>
  <si>
    <t>Area 3 Grupo E Nivel 1</t>
  </si>
  <si>
    <t>Area 3 Grupo E Nivel 2</t>
  </si>
  <si>
    <t>Area 4 Grupo A Nivel 1</t>
  </si>
  <si>
    <t>Area 4 Grupo B Nivel 1</t>
  </si>
  <si>
    <t>Area 4 Grupo B Nivel 2</t>
  </si>
  <si>
    <t>Area 4 Grupo C Nivel 1</t>
  </si>
  <si>
    <t>Area 4 Grupo C Nivel 2</t>
  </si>
  <si>
    <t>Area 4 Grupo C Nivel 3</t>
  </si>
  <si>
    <t>Area 4 Grupo D Nivel 1</t>
  </si>
  <si>
    <t>Area 4 Grupo D Nivel 2</t>
  </si>
  <si>
    <t>Area 4 Grupo D Nivel 3</t>
  </si>
  <si>
    <t>Area 4 Grupo E Nivel 1</t>
  </si>
  <si>
    <t>Area 4 Grupo E Nivel 2</t>
  </si>
  <si>
    <t>CATEGORÍAS EN 2024</t>
  </si>
  <si>
    <t>CATEGORÍAS EN  2025</t>
  </si>
  <si>
    <t>Años en empresa</t>
  </si>
  <si>
    <t>&gt;&gt;   Trienios   &gt;&gt;</t>
  </si>
  <si>
    <t>% del Salario Base</t>
  </si>
  <si>
    <t>Cotización Seguridad Social por Contingencias Comunes</t>
  </si>
  <si>
    <t>Cotización Seguridad Social por Desempleo / FP</t>
  </si>
  <si>
    <t xml:space="preserve">Salario Base </t>
  </si>
  <si>
    <t>EX SALARIO BASE 2022</t>
  </si>
  <si>
    <t>EX PLUS CONVENIO 2022</t>
  </si>
  <si>
    <t>i</t>
  </si>
  <si>
    <t>Seg. Accidente Emp.</t>
  </si>
  <si>
    <t>AUMENTA EN</t>
  </si>
  <si>
    <t>AUMENTO</t>
  </si>
  <si>
    <t>NETO</t>
  </si>
  <si>
    <t>Seguro Médico, Guardería... (importe negativo)</t>
  </si>
  <si>
    <t>Sueldo</t>
  </si>
  <si>
    <t>fijo</t>
  </si>
  <si>
    <t>salario convenio</t>
  </si>
  <si>
    <t>Retribución Convenio</t>
  </si>
  <si>
    <t>Complemento Ex Antigüedad</t>
  </si>
  <si>
    <t>Complementos Salariales</t>
  </si>
  <si>
    <t>antigüedad</t>
  </si>
  <si>
    <t>Antigüedad Consolidada</t>
  </si>
  <si>
    <t>Sentencia Antig 2001</t>
  </si>
  <si>
    <t>Antigüedad Direct. Tecno</t>
  </si>
  <si>
    <t>Nueva Antig. Consolidada</t>
  </si>
  <si>
    <t>Ingreso a cuenta IRPF NR</t>
  </si>
  <si>
    <t>Comp. Absorbible Pers.</t>
  </si>
  <si>
    <t>Comp. No absorbible</t>
  </si>
  <si>
    <t>Compl. Garantizado</t>
  </si>
  <si>
    <t>Cpto. Salarial Pactado</t>
  </si>
  <si>
    <t>Complemento Personal</t>
  </si>
  <si>
    <t>Complemento Consolidado</t>
  </si>
  <si>
    <t>Complemento Productividad</t>
  </si>
  <si>
    <t>Comple Personal "acuerdo"</t>
  </si>
  <si>
    <t>Complemento Puesto</t>
  </si>
  <si>
    <t>Plus Asistencia</t>
  </si>
  <si>
    <t>Plus Dedicación</t>
  </si>
  <si>
    <t>Complemento Destino</t>
  </si>
  <si>
    <t>Complemento Puesto Trabaj</t>
  </si>
  <si>
    <t>Complemento Expatriación</t>
  </si>
  <si>
    <t>A Cuenta Convenio</t>
  </si>
  <si>
    <t>Complemento Personal A</t>
  </si>
  <si>
    <t>Complemento personal abs.</t>
  </si>
  <si>
    <t>Nuevo complemento Consolidado</t>
  </si>
  <si>
    <t>A Cuenta Convenio Metal</t>
  </si>
  <si>
    <t>Compl. Adopción</t>
  </si>
  <si>
    <t>Total PE</t>
  </si>
  <si>
    <t>Prorrata Pagas Extraordin</t>
  </si>
  <si>
    <t>Prorrateo de paga extra</t>
  </si>
  <si>
    <t>Ajuste Paga extra</t>
  </si>
  <si>
    <t>Complementos Personales</t>
  </si>
  <si>
    <t>Pagas Extras</t>
  </si>
  <si>
    <t>Complemento Ex Categoria</t>
  </si>
  <si>
    <t>Complemento SMI</t>
  </si>
  <si>
    <t>Cpto. Garant. (antig. PT)</t>
  </si>
  <si>
    <t>Ausencia no justificada</t>
  </si>
  <si>
    <t>Retribución Variable</t>
  </si>
  <si>
    <t>RVA</t>
  </si>
  <si>
    <t>Plus Voluntario</t>
  </si>
  <si>
    <t>Pluses Fijos</t>
  </si>
  <si>
    <t>Otros Pluses</t>
  </si>
  <si>
    <t>Ay. Pers Con Discapacidad</t>
  </si>
  <si>
    <t>Compensación Beneficios</t>
  </si>
  <si>
    <t>Compl. Compensación</t>
  </si>
  <si>
    <t>Parking</t>
  </si>
  <si>
    <t>Plus Disponibilidad</t>
  </si>
  <si>
    <t>Complemento Disponibilidad</t>
  </si>
  <si>
    <t>Complemento Jornada</t>
  </si>
  <si>
    <t>Plus Atención Vigilada</t>
  </si>
  <si>
    <t>Plus proyecto</t>
  </si>
  <si>
    <t>Comp. Transitoria Vehículo</t>
  </si>
  <si>
    <t>Plus Turnicidad</t>
  </si>
  <si>
    <t>Plus Turnos Rotativos</t>
  </si>
  <si>
    <t>Turno Rotativo</t>
  </si>
  <si>
    <t>Nocturnidad Fija</t>
  </si>
  <si>
    <t>Ayuda estudios</t>
  </si>
  <si>
    <t>Ayuda Estudio</t>
  </si>
  <si>
    <t>Suplido Comida</t>
  </si>
  <si>
    <t>Disp. Guardias fin semana</t>
  </si>
  <si>
    <t>Disp. Guardias (S, D, F)</t>
  </si>
  <si>
    <t>Disp. Guardias Laborables</t>
  </si>
  <si>
    <t>Disp. Guardias (semanal)</t>
  </si>
  <si>
    <t>Disp. Guardias (especial)</t>
  </si>
  <si>
    <t>Plus Guardia</t>
  </si>
  <si>
    <t>Plus guardia (a)</t>
  </si>
  <si>
    <t>Plus guardia (b)</t>
  </si>
  <si>
    <t>Plus Guardia (m)</t>
  </si>
  <si>
    <t>Pluses por Disponibilidades</t>
  </si>
  <si>
    <t>Pluses por Intervenciones</t>
  </si>
  <si>
    <t>Pluses por Puesto</t>
  </si>
  <si>
    <t>Pluses por Turnos</t>
  </si>
  <si>
    <t>Pluses Variables</t>
  </si>
  <si>
    <t>Plus Mensáfono</t>
  </si>
  <si>
    <t>Disponibilidad Tlf y Pres</t>
  </si>
  <si>
    <t>Interv. App &lt; 22h</t>
  </si>
  <si>
    <t>Interv. App &gt; 22h</t>
  </si>
  <si>
    <t>Interv. App. Especial</t>
  </si>
  <si>
    <t>Intervención Tecnológica</t>
  </si>
  <si>
    <t>Plus Intervención (A)</t>
  </si>
  <si>
    <t>Plus Intervención (B)</t>
  </si>
  <si>
    <t>Pl. Servicio y Dedicación</t>
  </si>
  <si>
    <t>Función docente</t>
  </si>
  <si>
    <t>Compl Funcional Actividad</t>
  </si>
  <si>
    <t>Complemento puesto</t>
  </si>
  <si>
    <t>Interv. App. Fest. &lt; 22h</t>
  </si>
  <si>
    <t>Interv. App. Fest. &gt; 22h</t>
  </si>
  <si>
    <t>Intervenión Tec. Festivo</t>
  </si>
  <si>
    <t>Intervención Tec. Especia</t>
  </si>
  <si>
    <t>Plus festivos</t>
  </si>
  <si>
    <t>Plus Mensáfono Festivos</t>
  </si>
  <si>
    <t>Complemento Fin de Semana</t>
  </si>
  <si>
    <t>Pluses por Trabajo en festivos</t>
  </si>
  <si>
    <t>Compl Festivo Especial</t>
  </si>
  <si>
    <t>Plus de Turno SZ AZTI</t>
  </si>
  <si>
    <t>Plus Responsable Turno</t>
  </si>
  <si>
    <t>Plus Turnicidad 10</t>
  </si>
  <si>
    <t>Plus Turnicidad 15</t>
  </si>
  <si>
    <t>Plus Turnicidad 20</t>
  </si>
  <si>
    <t xml:space="preserve">Nocturnidad </t>
  </si>
  <si>
    <t>Plus de Turno</t>
  </si>
  <si>
    <t>Horas extras festivos</t>
  </si>
  <si>
    <t>Horas Extra</t>
  </si>
  <si>
    <t>Prima productividad</t>
  </si>
  <si>
    <t>Bono no Consolidable</t>
  </si>
  <si>
    <t>Bonus</t>
  </si>
  <si>
    <t>Cobertura Extraordinaria</t>
  </si>
  <si>
    <t>Dto. Perm. Bono no cons.</t>
  </si>
  <si>
    <t>Gratifcación</t>
  </si>
  <si>
    <t>Incentivo</t>
  </si>
  <si>
    <t xml:space="preserve">Dto. Perm. Bono  </t>
  </si>
  <si>
    <t>Retrib. Esp. Acciones Rep</t>
  </si>
  <si>
    <t>Regularización</t>
  </si>
  <si>
    <t>Reg. Atrasos Cot.</t>
  </si>
  <si>
    <t>Abonos Pendientes</t>
  </si>
  <si>
    <t>Int. Mora (daños y perj)</t>
  </si>
  <si>
    <t>Vacaciones Pendientes</t>
  </si>
  <si>
    <t xml:space="preserve">Vacaciones  </t>
  </si>
  <si>
    <t>Ayuda Nacimiento</t>
  </si>
  <si>
    <t>Obsequio Nacimiento</t>
  </si>
  <si>
    <t>Ayuda Comida</t>
  </si>
  <si>
    <t>Empresa PlanPens (TID)</t>
  </si>
  <si>
    <t>Empresa PlanPens. (TID) PE</t>
  </si>
  <si>
    <t>Imp.Mens.Rent. (Vehículo1)</t>
  </si>
  <si>
    <t>Compl.Pago Directo</t>
  </si>
  <si>
    <t>Compl. Mat/pat a TP</t>
  </si>
  <si>
    <t>Compl.Paternidad</t>
  </si>
  <si>
    <t>Prestaciones IT</t>
  </si>
  <si>
    <t>Prestaciones AT y EP</t>
  </si>
  <si>
    <t>Horas extras</t>
  </si>
  <si>
    <t>Bonos/Gratificaciones</t>
  </si>
  <si>
    <t>Otros</t>
  </si>
  <si>
    <t>Indemnización</t>
  </si>
  <si>
    <t>Beneficios Sociales</t>
  </si>
  <si>
    <t>Otros BBSS</t>
  </si>
  <si>
    <t>Ret. Esp. Campamentos</t>
  </si>
  <si>
    <t>Plan de Pensiones</t>
  </si>
  <si>
    <t>Vehículo</t>
  </si>
  <si>
    <t>Percepciones Extrasalariales</t>
  </si>
  <si>
    <t>Fijo</t>
  </si>
  <si>
    <t>Retrib. Durante Abs/Permisos</t>
  </si>
  <si>
    <t>Pago Directo Prestac.</t>
  </si>
  <si>
    <t>Prestac.oblig.Empresa-E</t>
  </si>
  <si>
    <t>Complementos IT</t>
  </si>
  <si>
    <t>Compl.AT y EP</t>
  </si>
  <si>
    <t>Compl.madre biológica</t>
  </si>
  <si>
    <t>Plus Traslado No Consolid</t>
  </si>
  <si>
    <t>Plus de Transporte</t>
  </si>
  <si>
    <t>Plus transporte</t>
  </si>
  <si>
    <t>Plus Trans Cambio Pozuelo</t>
  </si>
  <si>
    <t>Plus Distancia y Transpor</t>
  </si>
  <si>
    <t>Complto desp Int</t>
  </si>
  <si>
    <t>Plus Destino Mensual</t>
  </si>
  <si>
    <t xml:space="preserve">Plus Destino  </t>
  </si>
  <si>
    <t>Ayuda Transporte</t>
  </si>
  <si>
    <t>Compl. Especial Argentina</t>
  </si>
  <si>
    <t>Compl. Especial Chile</t>
  </si>
  <si>
    <t>Compl. Especial IRAK &lt; 30D</t>
  </si>
  <si>
    <t>Compl. Especial IRAK =&gt;31D</t>
  </si>
  <si>
    <t>IRPF Dietas</t>
  </si>
  <si>
    <t>IRPF Dietas Exentas</t>
  </si>
  <si>
    <t>IRPF Kmts Exenta</t>
  </si>
  <si>
    <t xml:space="preserve">IRPF Kmts  </t>
  </si>
  <si>
    <t>Plus No Competencia</t>
  </si>
  <si>
    <t>Pacto no competencia</t>
  </si>
  <si>
    <t>Omisión de Preaviso</t>
  </si>
  <si>
    <t>Indemnización Sujeta</t>
  </si>
  <si>
    <t>Indemnización Exenta D.C.</t>
  </si>
  <si>
    <t>Seg.Accidente.Emp</t>
  </si>
  <si>
    <t>BC B. Social Tarjeta Rest</t>
  </si>
  <si>
    <t>BC B. Social A. Sanitaria</t>
  </si>
  <si>
    <t>Retr. Esp. S. Vida No Rep</t>
  </si>
  <si>
    <t>Indemnización Irregular</t>
  </si>
  <si>
    <t>Reg. Plan Ahorro Jubilaci</t>
  </si>
  <si>
    <t>Pluses por Desplazamiento</t>
  </si>
  <si>
    <t>Restauración</t>
  </si>
  <si>
    <t>Salud</t>
  </si>
  <si>
    <t>Vida</t>
  </si>
  <si>
    <t>Complem. Consolidado TID</t>
  </si>
  <si>
    <t>1º Garantía De Percepción</t>
  </si>
  <si>
    <t>Garantía De Transparencia</t>
  </si>
  <si>
    <t>Plus Guardia (ma)</t>
  </si>
  <si>
    <t>Concepto</t>
  </si>
  <si>
    <t>Clasificación</t>
  </si>
  <si>
    <t>Categoría</t>
  </si>
  <si>
    <t>Subcategoría</t>
  </si>
  <si>
    <t>Orden</t>
  </si>
  <si>
    <t xml:space="preserve"> Pagas Extras</t>
  </si>
  <si>
    <t xml:space="preserve"> Vehículo</t>
  </si>
  <si>
    <t>Complementos de Convenio</t>
  </si>
  <si>
    <t>Complementos de Antigüedad</t>
  </si>
  <si>
    <t xml:space="preserve"> Complementos Personales</t>
  </si>
  <si>
    <t xml:space="preserve"> Pluses por Puesto de Trabajo</t>
  </si>
  <si>
    <t xml:space="preserve"> Otros Beneficios Sociales</t>
  </si>
  <si>
    <t xml:space="preserve"> Plan de Pensiones</t>
  </si>
  <si>
    <t xml:space="preserve"> Pluses por Disponibilidades e Intervenciones</t>
  </si>
  <si>
    <t>Pluses por Turnicidad</t>
  </si>
  <si>
    <t xml:space="preserve"> Otros Pluses</t>
  </si>
  <si>
    <t xml:space="preserve"> Complementos y Prestaciones por Bajas o Permisos</t>
  </si>
  <si>
    <t xml:space="preserve"> Pluses por Desplazamiento</t>
  </si>
  <si>
    <t xml:space="preserve"> Indemnizaciones</t>
  </si>
  <si>
    <t>Salarios Base</t>
  </si>
  <si>
    <t>Conceptos en Nómina</t>
  </si>
  <si>
    <r>
      <rPr>
        <sz val="12"/>
        <color rgb="FF666699"/>
        <rFont val="Webdings"/>
        <family val="1"/>
        <charset val="2"/>
      </rPr>
      <t>=</t>
    </r>
    <r>
      <rPr>
        <i/>
        <sz val="12"/>
        <color rgb="FF666699"/>
        <rFont val="Calibri"/>
        <family val="2"/>
      </rPr>
      <t xml:space="preserve"> </t>
    </r>
    <r>
      <rPr>
        <i/>
        <sz val="12"/>
        <color rgb="FF666699"/>
        <rFont val="Calibri"/>
        <family val="2"/>
        <scheme val="minor"/>
      </rPr>
      <t xml:space="preserve">Cpto. Garant. (antig. PT) = Complemento Garantizado (Antiguo Plus Transporte) </t>
    </r>
  </si>
  <si>
    <r>
      <rPr>
        <sz val="12"/>
        <color rgb="FF666699"/>
        <rFont val="Webdings"/>
        <family val="1"/>
        <charset val="2"/>
      </rPr>
      <t>=</t>
    </r>
    <r>
      <rPr>
        <i/>
        <sz val="12"/>
        <color rgb="FF666699"/>
        <rFont val="Calibri"/>
        <family val="2"/>
      </rPr>
      <t xml:space="preserve"> </t>
    </r>
    <r>
      <rPr>
        <i/>
        <sz val="12"/>
        <color rgb="FF666699"/>
        <rFont val="Calibri"/>
        <family val="2"/>
        <scheme val="minor"/>
      </rPr>
      <t>Complemento Ex Categoría</t>
    </r>
  </si>
  <si>
    <r>
      <rPr>
        <sz val="12"/>
        <color rgb="FF666699"/>
        <rFont val="Webdings"/>
        <family val="1"/>
        <charset val="2"/>
      </rPr>
      <t>=</t>
    </r>
    <r>
      <rPr>
        <i/>
        <sz val="12"/>
        <color rgb="FF666699"/>
        <rFont val="Calibri"/>
        <family val="2"/>
      </rPr>
      <t xml:space="preserve"> </t>
    </r>
    <r>
      <rPr>
        <i/>
        <sz val="12"/>
        <color rgb="FF666699"/>
        <rFont val="Calibri"/>
        <family val="2"/>
        <scheme val="minor"/>
      </rPr>
      <t>Ausencia no justificada</t>
    </r>
  </si>
  <si>
    <r>
      <rPr>
        <sz val="12"/>
        <color rgb="FF666699"/>
        <rFont val="Webdings"/>
        <family val="1"/>
        <charset val="2"/>
      </rPr>
      <t>=</t>
    </r>
    <r>
      <rPr>
        <i/>
        <sz val="12"/>
        <color rgb="FF666699"/>
        <rFont val="Calibri"/>
        <family val="2"/>
        <scheme val="minor"/>
      </rPr>
      <t xml:space="preserve"> Antigüedad Consolidada</t>
    </r>
  </si>
  <si>
    <r>
      <rPr>
        <sz val="12"/>
        <color rgb="FF666699"/>
        <rFont val="Webdings"/>
        <family val="1"/>
        <charset val="2"/>
      </rPr>
      <t>=</t>
    </r>
    <r>
      <rPr>
        <i/>
        <sz val="12"/>
        <color rgb="FF666699"/>
        <rFont val="Calibri"/>
        <family val="2"/>
      </rPr>
      <t xml:space="preserve"> </t>
    </r>
    <r>
      <rPr>
        <i/>
        <sz val="12"/>
        <color rgb="FF666699"/>
        <rFont val="Calibri"/>
        <family val="2"/>
        <scheme val="minor"/>
      </rPr>
      <t>Complemento Ex Antigüedad</t>
    </r>
  </si>
  <si>
    <r>
      <rPr>
        <sz val="12"/>
        <color rgb="FF666699"/>
        <rFont val="Webdings"/>
        <family val="1"/>
        <charset val="2"/>
      </rPr>
      <t>=</t>
    </r>
    <r>
      <rPr>
        <i/>
        <sz val="12"/>
        <color rgb="FF666699"/>
        <rFont val="Calibri"/>
        <family val="2"/>
        <scheme val="minor"/>
      </rPr>
      <t xml:space="preserve"> Complemento Personal "acuerdo"</t>
    </r>
  </si>
  <si>
    <r>
      <rPr>
        <sz val="12"/>
        <color rgb="FF666699"/>
        <rFont val="Webdings"/>
        <family val="1"/>
        <charset val="2"/>
      </rPr>
      <t>=</t>
    </r>
    <r>
      <rPr>
        <i/>
        <sz val="12"/>
        <color rgb="FF666699"/>
        <rFont val="Calibri"/>
        <family val="2"/>
        <scheme val="minor"/>
      </rPr>
      <t xml:space="preserve"> Complemento Productividad</t>
    </r>
  </si>
  <si>
    <r>
      <rPr>
        <sz val="12"/>
        <color rgb="FF666699"/>
        <rFont val="Webdings"/>
        <family val="1"/>
        <charset val="2"/>
      </rPr>
      <t>=</t>
    </r>
    <r>
      <rPr>
        <i/>
        <sz val="12"/>
        <color rgb="FF666699"/>
        <rFont val="Calibri"/>
        <family val="2"/>
        <scheme val="minor"/>
      </rPr>
      <t xml:space="preserve"> Complemento Personal</t>
    </r>
  </si>
  <si>
    <r>
      <rPr>
        <sz val="12"/>
        <color rgb="FF666699"/>
        <rFont val="Webdings"/>
        <family val="1"/>
        <charset val="2"/>
      </rPr>
      <t>=</t>
    </r>
    <r>
      <rPr>
        <i/>
        <sz val="12"/>
        <color rgb="FF666699"/>
        <rFont val="Calibri"/>
        <family val="2"/>
        <scheme val="minor"/>
      </rPr>
      <t xml:space="preserve"> Complemento Destino</t>
    </r>
  </si>
  <si>
    <r>
      <rPr>
        <sz val="12"/>
        <color rgb="FF666699"/>
        <rFont val="Webdings"/>
        <family val="1"/>
        <charset val="2"/>
      </rPr>
      <t>=</t>
    </r>
    <r>
      <rPr>
        <i/>
        <sz val="12"/>
        <color rgb="FF666699"/>
        <rFont val="Calibri"/>
        <family val="2"/>
        <scheme val="minor"/>
      </rPr>
      <t xml:space="preserve"> Complemento Puesto de Trabajo</t>
    </r>
  </si>
  <si>
    <r>
      <rPr>
        <sz val="12"/>
        <color rgb="FF666699"/>
        <rFont val="Webdings"/>
        <family val="1"/>
        <charset val="2"/>
      </rPr>
      <t>=</t>
    </r>
    <r>
      <rPr>
        <i/>
        <sz val="12"/>
        <color rgb="FF666699"/>
        <rFont val="Calibri"/>
        <family val="2"/>
        <scheme val="minor"/>
      </rPr>
      <t xml:space="preserve"> A Cuenta del Convenio del Metal</t>
    </r>
  </si>
  <si>
    <r>
      <rPr>
        <sz val="12"/>
        <color rgb="FF666699"/>
        <rFont val="Webdings"/>
        <family val="1"/>
        <charset val="2"/>
      </rPr>
      <t>=</t>
    </r>
    <r>
      <rPr>
        <i/>
        <sz val="12"/>
        <color rgb="FF666699"/>
        <rFont val="Calibri"/>
        <family val="2"/>
        <scheme val="minor"/>
      </rPr>
      <t xml:space="preserve"> Plus Asistencia</t>
    </r>
  </si>
  <si>
    <r>
      <rPr>
        <sz val="12"/>
        <color rgb="FF666699"/>
        <rFont val="Webdings"/>
        <family val="1"/>
        <charset val="2"/>
      </rPr>
      <t>=</t>
    </r>
    <r>
      <rPr>
        <i/>
        <sz val="12"/>
        <color rgb="FF666699"/>
        <rFont val="Calibri"/>
        <family val="2"/>
        <scheme val="minor"/>
      </rPr>
      <t xml:space="preserve"> Ajuste Paga Extra</t>
    </r>
  </si>
  <si>
    <r>
      <rPr>
        <sz val="12"/>
        <color rgb="FF666699"/>
        <rFont val="Webdings"/>
        <family val="1"/>
        <charset val="2"/>
      </rPr>
      <t>=</t>
    </r>
    <r>
      <rPr>
        <i/>
        <sz val="12"/>
        <color rgb="FF666699"/>
        <rFont val="Calibri"/>
        <family val="2"/>
        <scheme val="minor"/>
      </rPr>
      <t xml:space="preserve"> Total Paga Extra</t>
    </r>
  </si>
  <si>
    <r>
      <rPr>
        <sz val="12"/>
        <color rgb="FF666699"/>
        <rFont val="Webdings"/>
        <family val="1"/>
        <charset val="2"/>
      </rPr>
      <t>=</t>
    </r>
    <r>
      <rPr>
        <i/>
        <sz val="12"/>
        <color rgb="FF666699"/>
        <rFont val="Calibri"/>
        <family val="2"/>
        <scheme val="minor"/>
      </rPr>
      <t xml:space="preserve"> Complemento Puesto de Trabajo / Complemento Puesto</t>
    </r>
  </si>
  <si>
    <r>
      <rPr>
        <sz val="12"/>
        <color rgb="FF666699"/>
        <rFont val="Webdings"/>
        <family val="1"/>
        <charset val="2"/>
      </rPr>
      <t>=</t>
    </r>
    <r>
      <rPr>
        <i/>
        <sz val="12"/>
        <color rgb="FF666699"/>
        <rFont val="Calibri"/>
        <family val="2"/>
        <scheme val="minor"/>
      </rPr>
      <t xml:space="preserve"> Complemento Funcional Actividad</t>
    </r>
  </si>
  <si>
    <r>
      <rPr>
        <sz val="12"/>
        <color rgb="FF666699"/>
        <rFont val="Webdings"/>
        <family val="1"/>
        <charset val="2"/>
      </rPr>
      <t>=</t>
    </r>
    <r>
      <rPr>
        <i/>
        <sz val="12"/>
        <color rgb="FF666699"/>
        <rFont val="Calibri"/>
        <family val="2"/>
        <scheme val="minor"/>
      </rPr>
      <t xml:space="preserve"> Plus Proyecto</t>
    </r>
  </si>
  <si>
    <r>
      <rPr>
        <sz val="12"/>
        <color rgb="FF666699"/>
        <rFont val="Webdings"/>
        <family val="1"/>
        <charset val="2"/>
      </rPr>
      <t>=</t>
    </r>
    <r>
      <rPr>
        <i/>
        <sz val="12"/>
        <color rgb="FF666699"/>
        <rFont val="Calibri"/>
        <family val="2"/>
        <scheme val="minor"/>
      </rPr>
      <t xml:space="preserve"> Plus Dedicación</t>
    </r>
  </si>
  <si>
    <r>
      <rPr>
        <sz val="12"/>
        <color rgb="FF666699"/>
        <rFont val="Webdings"/>
        <family val="1"/>
        <charset val="2"/>
      </rPr>
      <t>=</t>
    </r>
    <r>
      <rPr>
        <i/>
        <sz val="12"/>
        <color rgb="FF666699"/>
        <rFont val="Calibri"/>
        <family val="2"/>
        <scheme val="minor"/>
      </rPr>
      <t xml:space="preserve"> Función Docente</t>
    </r>
  </si>
  <si>
    <r>
      <rPr>
        <sz val="12"/>
        <color rgb="FF666699"/>
        <rFont val="Webdings"/>
        <family val="1"/>
        <charset val="2"/>
      </rPr>
      <t>=</t>
    </r>
    <r>
      <rPr>
        <i/>
        <sz val="12"/>
        <color rgb="FF666699"/>
        <rFont val="Calibri"/>
        <family val="2"/>
        <scheme val="minor"/>
      </rPr>
      <t xml:space="preserve"> Complemento Transitoria Vehículo</t>
    </r>
  </si>
  <si>
    <r>
      <rPr>
        <sz val="12"/>
        <color rgb="FF666699"/>
        <rFont val="Webdings"/>
        <family val="1"/>
        <charset val="2"/>
      </rPr>
      <t>=</t>
    </r>
    <r>
      <rPr>
        <i/>
        <sz val="12"/>
        <color rgb="FF666699"/>
        <rFont val="Calibri"/>
        <family val="2"/>
        <scheme val="minor"/>
      </rPr>
      <t xml:space="preserve"> Ayuda Nacimiento / Obsequio Nacimiento</t>
    </r>
  </si>
  <si>
    <r>
      <rPr>
        <sz val="12"/>
        <color rgb="FF666699"/>
        <rFont val="Webdings"/>
        <family val="1"/>
        <charset val="2"/>
      </rPr>
      <t>=</t>
    </r>
    <r>
      <rPr>
        <i/>
        <sz val="12"/>
        <color rgb="FF666699"/>
        <rFont val="Calibri"/>
        <family val="2"/>
        <scheme val="minor"/>
      </rPr>
      <t xml:space="preserve"> Ret.Esp.Campamentos (ANTIGUA TES)</t>
    </r>
  </si>
  <si>
    <r>
      <rPr>
        <sz val="12"/>
        <color rgb="FF666699"/>
        <rFont val="Webdings"/>
        <family val="1"/>
        <charset val="2"/>
      </rPr>
      <t>=</t>
    </r>
    <r>
      <rPr>
        <i/>
        <sz val="12"/>
        <color rgb="FF666699"/>
        <rFont val="Calibri"/>
        <family val="2"/>
        <scheme val="minor"/>
      </rPr>
      <t xml:space="preserve"> Empresa Plan Pensiones</t>
    </r>
  </si>
  <si>
    <r>
      <rPr>
        <sz val="12"/>
        <color rgb="FF666699"/>
        <rFont val="Webdings"/>
        <family val="1"/>
        <charset val="2"/>
      </rPr>
      <t xml:space="preserve">= </t>
    </r>
    <r>
      <rPr>
        <i/>
        <sz val="12"/>
        <color rgb="FF666699"/>
        <rFont val="Calibri"/>
        <family val="2"/>
        <scheme val="minor"/>
      </rPr>
      <t>Plus Disponibilidad / Complemento Disponibilidad / Disponibilidad Telefónica y Presencial</t>
    </r>
  </si>
  <si>
    <r>
      <rPr>
        <sz val="12"/>
        <color rgb="FF666699"/>
        <rFont val="Webdings"/>
        <family val="1"/>
        <charset val="2"/>
      </rPr>
      <t>=</t>
    </r>
    <r>
      <rPr>
        <i/>
        <sz val="12"/>
        <color rgb="FF666699"/>
        <rFont val="Calibri"/>
        <family val="2"/>
        <scheme val="minor"/>
      </rPr>
      <t xml:space="preserve"> Plus Guardias</t>
    </r>
  </si>
  <si>
    <r>
      <rPr>
        <sz val="12"/>
        <color rgb="FF666699"/>
        <rFont val="Webdings"/>
        <family val="1"/>
        <charset val="2"/>
      </rPr>
      <t>=</t>
    </r>
    <r>
      <rPr>
        <i/>
        <sz val="12"/>
        <color rgb="FF666699"/>
        <rFont val="Calibri"/>
        <family val="2"/>
        <scheme val="minor"/>
      </rPr>
      <t xml:space="preserve"> Disponibilidad Guardias: Laborales / fin de semana / semanales / especial / festivos</t>
    </r>
  </si>
  <si>
    <r>
      <rPr>
        <sz val="12"/>
        <color rgb="FF666699"/>
        <rFont val="Webdings"/>
        <family val="1"/>
        <charset val="2"/>
      </rPr>
      <t>=</t>
    </r>
    <r>
      <rPr>
        <i/>
        <sz val="12"/>
        <color rgb="FF666699"/>
        <rFont val="Calibri"/>
        <family val="2"/>
        <scheme val="minor"/>
      </rPr>
      <t xml:space="preserve"> Complemento Jornada</t>
    </r>
  </si>
  <si>
    <r>
      <rPr>
        <sz val="12"/>
        <color rgb="FF666699"/>
        <rFont val="Webdings"/>
        <family val="1"/>
        <charset val="2"/>
      </rPr>
      <t>=</t>
    </r>
    <r>
      <rPr>
        <i/>
        <sz val="12"/>
        <color rgb="FF666699"/>
        <rFont val="Calibri"/>
        <family val="2"/>
        <scheme val="minor"/>
      </rPr>
      <t xml:space="preserve"> Plus Intervención / Intervención antes de las 22h / Intervención después de las 22h / Intervención Tecnológica / Intervención Tecnológica en Festivo / Intervención Especial / Intervención Especial en Festivo / Intervención antes de las 22h en festivo / Intervención después de las 22h en festivo</t>
    </r>
  </si>
  <si>
    <r>
      <rPr>
        <sz val="12"/>
        <color rgb="FF666699"/>
        <rFont val="Webdings"/>
        <family val="1"/>
        <charset val="2"/>
      </rPr>
      <t>=</t>
    </r>
    <r>
      <rPr>
        <i/>
        <sz val="12"/>
        <color rgb="FF666699"/>
        <rFont val="Calibri"/>
        <family val="2"/>
        <scheme val="minor"/>
      </rPr>
      <t xml:space="preserve"> Plus Servicio y Dedicación</t>
    </r>
  </si>
  <si>
    <r>
      <rPr>
        <sz val="12"/>
        <color rgb="FF666699"/>
        <rFont val="Webdings"/>
        <family val="1"/>
        <charset val="2"/>
      </rPr>
      <t>=</t>
    </r>
    <r>
      <rPr>
        <i/>
        <sz val="12"/>
        <color rgb="FF666699"/>
        <rFont val="Calibri"/>
        <family val="2"/>
        <scheme val="minor"/>
      </rPr>
      <t xml:space="preserve"> Plus Atención Vigilada</t>
    </r>
  </si>
  <si>
    <r>
      <rPr>
        <sz val="12"/>
        <color rgb="FF666699"/>
        <rFont val="Webdings"/>
        <family val="1"/>
        <charset val="2"/>
      </rPr>
      <t>=</t>
    </r>
    <r>
      <rPr>
        <i/>
        <sz val="12"/>
        <color rgb="FF666699"/>
        <rFont val="Calibri"/>
        <family val="2"/>
        <scheme val="minor"/>
      </rPr>
      <t xml:space="preserve"> Plus Festivos</t>
    </r>
  </si>
  <si>
    <r>
      <rPr>
        <sz val="12"/>
        <color rgb="FF666699"/>
        <rFont val="Webdings"/>
        <family val="1"/>
        <charset val="2"/>
      </rPr>
      <t>=</t>
    </r>
    <r>
      <rPr>
        <i/>
        <sz val="12"/>
        <color rgb="FF666699"/>
        <rFont val="Calibri"/>
        <family val="2"/>
        <scheme val="minor"/>
      </rPr>
      <t xml:space="preserve"> Plus Mensáfonos / Plus Mensáfonos en Festivos</t>
    </r>
  </si>
  <si>
    <r>
      <rPr>
        <sz val="12"/>
        <color rgb="FF666699"/>
        <rFont val="Webdings"/>
        <family val="1"/>
        <charset val="2"/>
      </rPr>
      <t>=</t>
    </r>
    <r>
      <rPr>
        <i/>
        <sz val="12"/>
        <color rgb="FF666699"/>
        <rFont val="Calibri"/>
        <family val="2"/>
        <scheme val="minor"/>
      </rPr>
      <t xml:space="preserve"> Complemento fin de semana</t>
    </r>
  </si>
  <si>
    <r>
      <rPr>
        <sz val="12"/>
        <color rgb="FF666699"/>
        <rFont val="Webdings"/>
        <family val="1"/>
        <charset val="2"/>
      </rPr>
      <t>=</t>
    </r>
    <r>
      <rPr>
        <i/>
        <sz val="12"/>
        <color rgb="FF666699"/>
        <rFont val="Calibri"/>
        <family val="2"/>
        <scheme val="minor"/>
      </rPr>
      <t xml:space="preserve"> Complemento Festivo Especial</t>
    </r>
  </si>
  <si>
    <r>
      <rPr>
        <sz val="12"/>
        <color rgb="FF666699"/>
        <rFont val="Webdings"/>
        <family val="1"/>
        <charset val="2"/>
      </rPr>
      <t>=</t>
    </r>
    <r>
      <rPr>
        <i/>
        <sz val="12"/>
        <color rgb="FF666699"/>
        <rFont val="Calibri"/>
        <family val="2"/>
        <scheme val="minor"/>
      </rPr>
      <t xml:space="preserve"> Plus Turnicidad / Plus Turnos Rotativos / Plus Turno</t>
    </r>
  </si>
  <si>
    <r>
      <rPr>
        <sz val="12"/>
        <color rgb="FF666699"/>
        <rFont val="Webdings"/>
        <family val="1"/>
        <charset val="2"/>
      </rPr>
      <t>=</t>
    </r>
    <r>
      <rPr>
        <i/>
        <sz val="12"/>
        <color rgb="FF666699"/>
        <rFont val="Calibri"/>
        <family val="2"/>
        <scheme val="minor"/>
      </rPr>
      <t xml:space="preserve"> Nocturnidad / Nocturnidad fija</t>
    </r>
  </si>
  <si>
    <r>
      <rPr>
        <sz val="12"/>
        <color rgb="FF666699"/>
        <rFont val="Webdings"/>
        <family val="1"/>
        <charset val="2"/>
      </rPr>
      <t>=</t>
    </r>
    <r>
      <rPr>
        <i/>
        <sz val="12"/>
        <color rgb="FF666699"/>
        <rFont val="Calibri"/>
        <family val="2"/>
        <scheme val="minor"/>
      </rPr>
      <t xml:space="preserve"> Plus Responsable Turno</t>
    </r>
  </si>
  <si>
    <r>
      <rPr>
        <sz val="12"/>
        <color rgb="FF666699"/>
        <rFont val="Webdings"/>
        <family val="1"/>
        <charset val="2"/>
      </rPr>
      <t>=</t>
    </r>
    <r>
      <rPr>
        <i/>
        <sz val="12"/>
        <color rgb="FF666699"/>
        <rFont val="Calibri"/>
        <family val="2"/>
        <scheme val="minor"/>
      </rPr>
      <t xml:space="preserve"> Imp.Mens.Rent (Vehículo)</t>
    </r>
  </si>
  <si>
    <r>
      <rPr>
        <sz val="12"/>
        <color rgb="FF666699"/>
        <rFont val="Webdings"/>
        <family val="1"/>
        <charset val="2"/>
      </rPr>
      <t>=</t>
    </r>
    <r>
      <rPr>
        <i/>
        <sz val="12"/>
        <color rgb="FF666699"/>
        <rFont val="Calibri"/>
        <family val="2"/>
        <scheme val="minor"/>
      </rPr>
      <t xml:space="preserve"> Ayuda Estudios</t>
    </r>
  </si>
  <si>
    <r>
      <rPr>
        <sz val="12"/>
        <color rgb="FF666699"/>
        <rFont val="Webdings"/>
        <family val="1"/>
        <charset val="2"/>
      </rPr>
      <t>=</t>
    </r>
    <r>
      <rPr>
        <i/>
        <sz val="12"/>
        <color rgb="FF666699"/>
        <rFont val="Calibri"/>
        <family val="2"/>
        <scheme val="minor"/>
      </rPr>
      <t xml:space="preserve"> Ayuda Comida / Suplido Comida</t>
    </r>
  </si>
  <si>
    <r>
      <rPr>
        <sz val="12"/>
        <color rgb="FF666699"/>
        <rFont val="Webdings"/>
        <family val="1"/>
        <charset val="2"/>
      </rPr>
      <t>=</t>
    </r>
    <r>
      <rPr>
        <i/>
        <sz val="12"/>
        <color rgb="FF666699"/>
        <rFont val="Calibri"/>
        <family val="2"/>
        <scheme val="minor"/>
      </rPr>
      <t xml:space="preserve"> Parking</t>
    </r>
  </si>
  <si>
    <r>
      <rPr>
        <sz val="12"/>
        <color rgb="FF666699"/>
        <rFont val="Webdings"/>
        <family val="1"/>
        <charset val="2"/>
      </rPr>
      <t>=</t>
    </r>
    <r>
      <rPr>
        <i/>
        <sz val="12"/>
        <color rgb="FF666699"/>
        <rFont val="Calibri"/>
        <family val="2"/>
        <scheme val="minor"/>
      </rPr>
      <t xml:space="preserve"> Complemento Compensación / Compensación  Beneficios</t>
    </r>
  </si>
  <si>
    <r>
      <rPr>
        <sz val="12"/>
        <color rgb="FF666699"/>
        <rFont val="Webdings"/>
        <family val="1"/>
        <charset val="2"/>
      </rPr>
      <t>=</t>
    </r>
    <r>
      <rPr>
        <i/>
        <sz val="12"/>
        <color rgb="FF666699"/>
        <rFont val="Calibri"/>
        <family val="2"/>
        <scheme val="minor"/>
      </rPr>
      <t xml:space="preserve"> Plus Voluntario</t>
    </r>
  </si>
  <si>
    <r>
      <rPr>
        <sz val="12"/>
        <color rgb="FF666699"/>
        <rFont val="Webdings"/>
        <family val="1"/>
        <charset val="2"/>
      </rPr>
      <t>=</t>
    </r>
    <r>
      <rPr>
        <i/>
        <sz val="12"/>
        <color rgb="FF666699"/>
        <rFont val="Calibri"/>
        <family val="2"/>
        <scheme val="minor"/>
      </rPr>
      <t xml:space="preserve"> EX SALARIO BASE 2022</t>
    </r>
  </si>
  <si>
    <r>
      <rPr>
        <sz val="12"/>
        <color rgb="FF666699"/>
        <rFont val="Webdings"/>
        <family val="1"/>
        <charset val="2"/>
      </rPr>
      <t>=</t>
    </r>
    <r>
      <rPr>
        <i/>
        <sz val="12"/>
        <color rgb="FF666699"/>
        <rFont val="Calibri"/>
        <family val="2"/>
        <scheme val="minor"/>
      </rPr>
      <t xml:space="preserve"> Complemento SMI</t>
    </r>
  </si>
  <si>
    <r>
      <rPr>
        <sz val="12"/>
        <color rgb="FF666699"/>
        <rFont val="Webdings"/>
        <family val="1"/>
        <charset val="2"/>
      </rPr>
      <t>=</t>
    </r>
    <r>
      <rPr>
        <i/>
        <sz val="12"/>
        <color rgb="FF666699"/>
        <rFont val="Calibri"/>
        <family val="2"/>
        <scheme val="minor"/>
      </rPr>
      <t xml:space="preserve"> Complemento No Absorbible</t>
    </r>
  </si>
  <si>
    <r>
      <rPr>
        <sz val="12"/>
        <color rgb="FF666699"/>
        <rFont val="Webdings"/>
        <family val="1"/>
        <charset val="2"/>
      </rPr>
      <t>=</t>
    </r>
    <r>
      <rPr>
        <i/>
        <sz val="12"/>
        <color rgb="FF666699"/>
        <rFont val="Calibri"/>
        <family val="2"/>
        <scheme val="minor"/>
      </rPr>
      <t xml:space="preserve"> Complemento Garantizado </t>
    </r>
  </si>
  <si>
    <r>
      <rPr>
        <sz val="12"/>
        <color rgb="FF666699"/>
        <rFont val="Webdings"/>
        <family val="1"/>
        <charset val="2"/>
      </rPr>
      <t>=</t>
    </r>
    <r>
      <rPr>
        <i/>
        <sz val="12"/>
        <color rgb="FF666699"/>
        <rFont val="Calibri"/>
        <family val="2"/>
        <scheme val="minor"/>
      </rPr>
      <t xml:space="preserve"> Complemento Consolidado / Nuevo Complemento Consolidado</t>
    </r>
  </si>
  <si>
    <r>
      <rPr>
        <sz val="12"/>
        <color theme="9" tint="-0.499984740745262"/>
        <rFont val="Webdings"/>
        <family val="1"/>
        <charset val="2"/>
      </rPr>
      <t>=</t>
    </r>
    <r>
      <rPr>
        <i/>
        <sz val="12"/>
        <color theme="9" tint="-0.499984740745262"/>
        <rFont val="Calibri"/>
        <family val="2"/>
        <scheme val="minor"/>
      </rPr>
      <t xml:space="preserve"> Complemento Maternidad / Paternidad</t>
    </r>
  </si>
  <si>
    <r>
      <rPr>
        <sz val="12"/>
        <color theme="9" tint="-0.499984740745262"/>
        <rFont val="Webdings"/>
        <family val="1"/>
        <charset val="2"/>
      </rPr>
      <t>=</t>
    </r>
    <r>
      <rPr>
        <i/>
        <sz val="12"/>
        <color theme="9" tint="-0.499984740745262"/>
        <rFont val="Calibri"/>
        <family val="2"/>
        <scheme val="minor"/>
      </rPr>
      <t xml:space="preserve"> Prestaciones IT</t>
    </r>
  </si>
  <si>
    <r>
      <rPr>
        <sz val="12"/>
        <color theme="9" tint="-0.499984740745262"/>
        <rFont val="Webdings"/>
        <family val="1"/>
        <charset val="2"/>
      </rPr>
      <t>=</t>
    </r>
    <r>
      <rPr>
        <i/>
        <sz val="12"/>
        <color theme="9" tint="-0.499984740745262"/>
        <rFont val="Calibri"/>
        <family val="2"/>
        <scheme val="minor"/>
      </rPr>
      <t xml:space="preserve"> Prestaciones AT y EP</t>
    </r>
  </si>
  <si>
    <r>
      <rPr>
        <sz val="12"/>
        <color theme="9" tint="-0.499984740745262"/>
        <rFont val="Webdings"/>
        <family val="1"/>
        <charset val="2"/>
      </rPr>
      <t>=</t>
    </r>
    <r>
      <rPr>
        <i/>
        <sz val="12"/>
        <color theme="9" tint="-0.499984740745262"/>
        <rFont val="Calibri"/>
        <family val="2"/>
        <scheme val="minor"/>
      </rPr>
      <t xml:space="preserve"> Complementos IT</t>
    </r>
  </si>
  <si>
    <r>
      <rPr>
        <sz val="12"/>
        <color theme="9" tint="-0.499984740745262"/>
        <rFont val="Webdings"/>
        <family val="1"/>
        <charset val="2"/>
      </rPr>
      <t>=</t>
    </r>
    <r>
      <rPr>
        <i/>
        <sz val="12"/>
        <color theme="9" tint="-0.499984740745262"/>
        <rFont val="Calibri"/>
        <family val="2"/>
        <scheme val="minor"/>
      </rPr>
      <t xml:space="preserve"> Plus Transporte</t>
    </r>
  </si>
  <si>
    <r>
      <rPr>
        <sz val="12"/>
        <color theme="9" tint="-0.499984740745262"/>
        <rFont val="Webdings"/>
        <family val="1"/>
        <charset val="2"/>
      </rPr>
      <t>=</t>
    </r>
    <r>
      <rPr>
        <i/>
        <sz val="12"/>
        <color theme="9" tint="-0.499984740745262"/>
        <rFont val="Calibri"/>
        <family val="2"/>
        <scheme val="minor"/>
      </rPr>
      <t xml:space="preserve"> IRPF Dietas / IRPF Dietas Exentas</t>
    </r>
  </si>
  <si>
    <r>
      <rPr>
        <sz val="12"/>
        <color theme="9" tint="-0.499984740745262"/>
        <rFont val="Webdings"/>
        <family val="1"/>
        <charset val="2"/>
      </rPr>
      <t>=</t>
    </r>
    <r>
      <rPr>
        <i/>
        <sz val="12"/>
        <color theme="9" tint="-0.499984740745262"/>
        <rFont val="Calibri"/>
        <family val="2"/>
        <scheme val="minor"/>
      </rPr>
      <t xml:space="preserve"> IRPF Kilómetros / IRPF Kilómetros Exentas</t>
    </r>
  </si>
  <si>
    <r>
      <rPr>
        <sz val="12"/>
        <color theme="9" tint="-0.499984740745262"/>
        <rFont val="Webdings"/>
        <family val="1"/>
        <charset val="2"/>
      </rPr>
      <t>=</t>
    </r>
    <r>
      <rPr>
        <i/>
        <sz val="12"/>
        <color theme="9" tint="-0.499984740745262"/>
        <rFont val="Calibri"/>
        <family val="2"/>
        <scheme val="minor"/>
      </rPr>
      <t xml:space="preserve"> Indemnizaciones por Despido o Traslados</t>
    </r>
  </si>
  <si>
    <r>
      <rPr>
        <sz val="12"/>
        <color theme="9" tint="-0.499984740745262"/>
        <rFont val="Webdings"/>
        <family val="1"/>
        <charset val="2"/>
      </rPr>
      <t>=</t>
    </r>
    <r>
      <rPr>
        <i/>
        <sz val="12"/>
        <color theme="9" tint="-0.499984740745262"/>
        <rFont val="Calibri"/>
        <family val="2"/>
        <scheme val="minor"/>
      </rPr>
      <t xml:space="preserve"> Plus de No Competencia</t>
    </r>
  </si>
  <si>
    <r>
      <rPr>
        <sz val="12"/>
        <color theme="9" tint="-0.499984740745262"/>
        <rFont val="Webdings"/>
        <family val="1"/>
        <charset val="2"/>
      </rPr>
      <t>=</t>
    </r>
    <r>
      <rPr>
        <i/>
        <sz val="12"/>
        <color theme="9" tint="-0.499984740745262"/>
        <rFont val="Calibri"/>
        <family val="2"/>
        <scheme val="minor"/>
      </rPr>
      <t xml:space="preserve"> Tarjeta Restaurante</t>
    </r>
  </si>
  <si>
    <r>
      <rPr>
        <sz val="12"/>
        <color theme="9" tint="-0.499984740745262"/>
        <rFont val="Webdings"/>
        <family val="1"/>
        <charset val="2"/>
      </rPr>
      <t>=</t>
    </r>
    <r>
      <rPr>
        <i/>
        <sz val="12"/>
        <color theme="9" tint="-0.499984740745262"/>
        <rFont val="Calibri"/>
        <family val="2"/>
        <scheme val="minor"/>
      </rPr>
      <t xml:space="preserve"> Asistencia Sanitaria</t>
    </r>
  </si>
  <si>
    <r>
      <rPr>
        <sz val="12"/>
        <color theme="9" tint="-0.499984740745262"/>
        <rFont val="Webdings"/>
        <family val="1"/>
        <charset val="2"/>
      </rPr>
      <t>=</t>
    </r>
    <r>
      <rPr>
        <i/>
        <sz val="12"/>
        <color theme="9" tint="-0.499984740745262"/>
        <rFont val="Calibri"/>
        <family val="2"/>
        <scheme val="minor"/>
      </rPr>
      <t xml:space="preserve"> Seguro de Vida</t>
    </r>
  </si>
  <si>
    <r>
      <rPr>
        <sz val="12"/>
        <color theme="9" tint="-0.499984740745262"/>
        <rFont val="Webdings"/>
        <family val="1"/>
        <charset val="2"/>
      </rPr>
      <t>=</t>
    </r>
    <r>
      <rPr>
        <i/>
        <sz val="12"/>
        <color theme="9" tint="-0.499984740745262"/>
        <rFont val="Calibri"/>
        <family val="1"/>
        <charset val="2"/>
        <scheme val="minor"/>
      </rPr>
      <t xml:space="preserve"> </t>
    </r>
    <r>
      <rPr>
        <i/>
        <sz val="12"/>
        <color theme="9" tint="-0.499984740745262"/>
        <rFont val="Calibri"/>
        <family val="2"/>
        <scheme val="minor"/>
      </rPr>
      <t>Complemento Pago Directo / Pago Directo Prestaciones</t>
    </r>
  </si>
  <si>
    <t>SMI 2024</t>
  </si>
  <si>
    <t>(14 pagas)</t>
  </si>
  <si>
    <t>Complemento Absorbible 2025 (con Subida)</t>
  </si>
  <si>
    <t>Mes 2024</t>
  </si>
  <si>
    <t>Ex Salario Base 2022</t>
  </si>
  <si>
    <t xml:space="preserve">Plus Convenio </t>
  </si>
  <si>
    <t xml:space="preserve">Ex Plus Convenio 2022 </t>
  </si>
  <si>
    <t>Otros conceptos Salariales</t>
  </si>
  <si>
    <t>PSI - 2024</t>
  </si>
  <si>
    <t>2025 - PSI</t>
  </si>
  <si>
    <t>BRUTO ANUAL - 2024</t>
  </si>
  <si>
    <t>2025 - BRUTO ANUAL</t>
  </si>
  <si>
    <t>% Jornada</t>
  </si>
  <si>
    <t>Trienio</t>
  </si>
  <si>
    <t>% Antigüedad</t>
  </si>
  <si>
    <t>Años en la empresa</t>
  </si>
  <si>
    <t>Bruto Anual</t>
  </si>
  <si>
    <t>Mínimo Legal</t>
  </si>
  <si>
    <t>Año</t>
  </si>
  <si>
    <t>Resaltar si es igual a 1</t>
  </si>
  <si>
    <t>Año de Antigüedad</t>
  </si>
  <si>
    <r>
      <rPr>
        <b/>
        <sz val="11"/>
        <color theme="1"/>
        <rFont val="Calibri"/>
        <family val="2"/>
      </rPr>
      <t>Σ</t>
    </r>
    <r>
      <rPr>
        <sz val="11"/>
        <color theme="1"/>
        <rFont val="Calibri"/>
        <family val="2"/>
      </rPr>
      <t xml:space="preserve"> </t>
    </r>
    <r>
      <rPr>
        <sz val="11"/>
        <color theme="1"/>
        <rFont val="Calibri"/>
        <family val="2"/>
        <scheme val="minor"/>
      </rPr>
      <t>Otros Conceptos Salariales (en PSI)</t>
    </r>
  </si>
  <si>
    <r>
      <rPr>
        <b/>
        <sz val="11"/>
        <color theme="1"/>
        <rFont val="Calibri"/>
        <family val="2"/>
      </rPr>
      <t>Σ</t>
    </r>
    <r>
      <rPr>
        <b/>
        <sz val="11"/>
        <color theme="1"/>
        <rFont val="Calibri"/>
        <family val="2"/>
        <scheme val="minor"/>
      </rPr>
      <t xml:space="preserve"> </t>
    </r>
    <r>
      <rPr>
        <sz val="11"/>
        <color theme="1"/>
        <rFont val="Calibri"/>
        <family val="2"/>
        <scheme val="minor"/>
      </rPr>
      <t>Otros Conceptos EXTRASalariales (NO en PSI)</t>
    </r>
  </si>
  <si>
    <r>
      <rPr>
        <b/>
        <sz val="11"/>
        <color theme="1"/>
        <rFont val="Calibri"/>
        <family val="2"/>
      </rPr>
      <t>Σ</t>
    </r>
    <r>
      <rPr>
        <sz val="11"/>
        <color theme="1"/>
        <rFont val="Calibri"/>
        <family val="2"/>
      </rPr>
      <t xml:space="preserve"> </t>
    </r>
    <r>
      <rPr>
        <sz val="11"/>
        <color theme="1"/>
        <rFont val="Calibri"/>
        <family val="2"/>
        <scheme val="minor"/>
      </rPr>
      <t>Otros Conceptos Salariales (NO en PSI)</t>
    </r>
  </si>
  <si>
    <t>Σ Otros Conceptos Salariales (en PSI)</t>
  </si>
  <si>
    <t>Σ Otros Conceptos Salariales (NO en PSI)</t>
  </si>
  <si>
    <t>Σ Otros Conceptos EXTRASalariales (NO en PSI)</t>
  </si>
  <si>
    <t>% Aumento Tablas</t>
  </si>
  <si>
    <t>Si</t>
  </si>
  <si>
    <t>No</t>
  </si>
  <si>
    <t>Fuera de la PSI - 2024</t>
  </si>
  <si>
    <t>2025 - Fuera de la PSI</t>
  </si>
  <si>
    <t>SMI 2025</t>
  </si>
  <si>
    <t>(12 pagas)</t>
  </si>
  <si>
    <t>(Anual)</t>
  </si>
  <si>
    <t>Mes 2025 (Tablas 2024)</t>
  </si>
  <si>
    <t>Mes 2025 (Tablas 2025)</t>
  </si>
  <si>
    <t>BRUTO</t>
  </si>
  <si>
    <t>CÓMO EVOLUCIONA TU SALARIO CON EL PASO DE LOS AÑOS</t>
  </si>
  <si>
    <r>
      <rPr>
        <b/>
        <sz val="14"/>
        <color rgb="FF666699"/>
        <rFont val="Webdings"/>
        <family val="1"/>
        <charset val="2"/>
      </rPr>
      <t>=</t>
    </r>
    <r>
      <rPr>
        <b/>
        <i/>
        <sz val="14"/>
        <color rgb="FF666699"/>
        <rFont val="Calibri"/>
        <family val="2"/>
        <scheme val="minor"/>
      </rPr>
      <t xml:space="preserve"> Salario Base / Sueldo / Retribución Convenio</t>
    </r>
  </si>
  <si>
    <r>
      <rPr>
        <b/>
        <sz val="14"/>
        <color rgb="FF666699"/>
        <rFont val="Webdings"/>
        <family val="1"/>
        <charset val="2"/>
      </rPr>
      <t>=</t>
    </r>
    <r>
      <rPr>
        <b/>
        <i/>
        <sz val="14"/>
        <color rgb="FF666699"/>
        <rFont val="Calibri"/>
        <family val="2"/>
      </rPr>
      <t xml:space="preserve"> </t>
    </r>
    <r>
      <rPr>
        <b/>
        <i/>
        <sz val="14"/>
        <color rgb="FF666699"/>
        <rFont val="Calibri"/>
        <family val="2"/>
        <scheme val="minor"/>
      </rPr>
      <t>Plus Convenio</t>
    </r>
  </si>
  <si>
    <r>
      <rPr>
        <b/>
        <sz val="14"/>
        <color rgb="FF666699"/>
        <rFont val="Webdings"/>
        <family val="1"/>
        <charset val="2"/>
      </rPr>
      <t>=</t>
    </r>
    <r>
      <rPr>
        <b/>
        <i/>
        <sz val="14"/>
        <color rgb="FF666699"/>
        <rFont val="Calibri"/>
        <family val="1"/>
        <charset val="2"/>
        <scheme val="minor"/>
      </rPr>
      <t xml:space="preserve"> EX PLUS CONVENIO 2022</t>
    </r>
  </si>
  <si>
    <r>
      <rPr>
        <b/>
        <sz val="14"/>
        <color rgb="FF666699"/>
        <rFont val="Webdings"/>
        <family val="1"/>
        <charset val="2"/>
      </rPr>
      <t>=</t>
    </r>
    <r>
      <rPr>
        <b/>
        <i/>
        <sz val="14"/>
        <color rgb="FF666699"/>
        <rFont val="Calibri"/>
        <family val="2"/>
      </rPr>
      <t xml:space="preserve"> </t>
    </r>
    <r>
      <rPr>
        <b/>
        <i/>
        <sz val="14"/>
        <color rgb="FF666699"/>
        <rFont val="Calibri"/>
        <family val="2"/>
        <scheme val="minor"/>
      </rPr>
      <t>Antigüedad</t>
    </r>
  </si>
  <si>
    <r>
      <rPr>
        <b/>
        <sz val="14"/>
        <color rgb="FF666699"/>
        <rFont val="Webdings"/>
        <family val="1"/>
        <charset val="2"/>
      </rPr>
      <t>=</t>
    </r>
    <r>
      <rPr>
        <b/>
        <i/>
        <sz val="14"/>
        <color rgb="FF666699"/>
        <rFont val="Calibri"/>
        <family val="2"/>
        <scheme val="minor"/>
      </rPr>
      <t xml:space="preserve"> Complemento Absorbible Personal / Complemento Personal A / Complemento personal abs.</t>
    </r>
  </si>
  <si>
    <r>
      <rPr>
        <b/>
        <sz val="14"/>
        <color rgb="FF666699"/>
        <rFont val="Webdings"/>
        <family val="1"/>
        <charset val="2"/>
      </rPr>
      <t>=</t>
    </r>
    <r>
      <rPr>
        <b/>
        <i/>
        <sz val="14"/>
        <color rgb="FF666699"/>
        <rFont val="Calibri"/>
        <family val="2"/>
        <scheme val="minor"/>
      </rPr>
      <t xml:space="preserve"> Complemento Salarial Pactado </t>
    </r>
  </si>
  <si>
    <r>
      <rPr>
        <b/>
        <i/>
        <sz val="14"/>
        <color rgb="FF666699"/>
        <rFont val="Calibri"/>
        <family val="2"/>
        <scheme val="minor"/>
      </rPr>
      <t>En PSI</t>
    </r>
    <r>
      <rPr>
        <b/>
        <i/>
        <sz val="11"/>
        <color rgb="FF666699"/>
        <rFont val="Calibri"/>
        <family val="2"/>
        <scheme val="minor"/>
      </rPr>
      <t xml:space="preserve"> (según criterio de la empresa)</t>
    </r>
  </si>
  <si>
    <r>
      <rPr>
        <b/>
        <sz val="14"/>
        <color rgb="FF666699"/>
        <rFont val="Webdings"/>
        <family val="1"/>
        <charset val="2"/>
      </rPr>
      <t>=</t>
    </r>
    <r>
      <rPr>
        <b/>
        <i/>
        <sz val="14"/>
        <color rgb="FF666699"/>
        <rFont val="Calibri"/>
        <family val="2"/>
        <scheme val="minor"/>
      </rPr>
      <t xml:space="preserve"> Prorrata Paga Extraordinaria / Prorrateo de paga extra</t>
    </r>
  </si>
  <si>
    <r>
      <rPr>
        <b/>
        <sz val="14"/>
        <color theme="9" tint="-0.499984740745262"/>
        <rFont val="Webdings"/>
        <family val="1"/>
        <charset val="2"/>
      </rPr>
      <t>=</t>
    </r>
    <r>
      <rPr>
        <b/>
        <i/>
        <sz val="14"/>
        <color theme="9" tint="-0.499984740745262"/>
        <rFont val="Calibri"/>
        <family val="2"/>
        <scheme val="minor"/>
      </rPr>
      <t xml:space="preserve"> Seg.Accidente.Emp = Seguro de Accidentes Empresa</t>
    </r>
  </si>
  <si>
    <r>
      <rPr>
        <b/>
        <sz val="14"/>
        <color rgb="FF666699"/>
        <rFont val="Webdings"/>
        <family val="1"/>
        <charset val="2"/>
      </rPr>
      <t>=</t>
    </r>
    <r>
      <rPr>
        <b/>
        <i/>
        <sz val="14"/>
        <color rgb="FF666699"/>
        <rFont val="Calibri"/>
        <family val="2"/>
        <scheme val="minor"/>
      </rPr>
      <t xml:space="preserve"> Ayuda Personas Con Discapacidad</t>
    </r>
  </si>
  <si>
    <r>
      <rPr>
        <b/>
        <sz val="14"/>
        <color rgb="FF666699"/>
        <rFont val="Webdings"/>
        <family val="1"/>
        <charset val="2"/>
      </rPr>
      <t>=</t>
    </r>
    <r>
      <rPr>
        <b/>
        <i/>
        <sz val="14"/>
        <color rgb="FF666699"/>
        <rFont val="Calibri"/>
        <family val="2"/>
        <scheme val="minor"/>
      </rPr>
      <t xml:space="preserve"> Gastos Teletrabajo</t>
    </r>
  </si>
  <si>
    <r>
      <rPr>
        <b/>
        <sz val="14"/>
        <color rgb="FF666699"/>
        <rFont val="Arial"/>
        <family val="2"/>
      </rPr>
      <t>Área 1</t>
    </r>
    <r>
      <rPr>
        <sz val="11"/>
        <color rgb="FF666699"/>
        <rFont val="Arial"/>
        <family val="2"/>
      </rPr>
      <t xml:space="preserve"> Gestión y administración 
de medios y procesos, y 
actividades de administración interna</t>
    </r>
  </si>
  <si>
    <r>
      <rPr>
        <b/>
        <sz val="14"/>
        <color rgb="FF666699"/>
        <rFont val="Arial"/>
        <family val="2"/>
      </rPr>
      <t>Área 2</t>
    </r>
    <r>
      <rPr>
        <sz val="11"/>
        <color rgb="FF666699"/>
        <rFont val="Arial"/>
        <family val="2"/>
      </rPr>
      <t xml:space="preserve"> Atención al usuario, 
interno y externo.</t>
    </r>
  </si>
  <si>
    <r>
      <rPr>
        <b/>
        <sz val="14"/>
        <color rgb="FF666699"/>
        <rFont val="Arial"/>
        <family val="2"/>
      </rPr>
      <t>Área 3</t>
    </r>
    <r>
      <rPr>
        <sz val="11"/>
        <color rgb="FF666699"/>
        <rFont val="Arial"/>
        <family val="2"/>
      </rPr>
      <t xml:space="preserve"> Desarrollo de Software, Programación y 
Explotación de Sistemas</t>
    </r>
  </si>
  <si>
    <r>
      <rPr>
        <b/>
        <sz val="14"/>
        <color rgb="FF666699"/>
        <rFont val="Arial"/>
        <family val="2"/>
      </rPr>
      <t>Área 4</t>
    </r>
    <r>
      <rPr>
        <sz val="11"/>
        <color rgb="FF666699"/>
        <rFont val="Arial"/>
        <family val="2"/>
      </rPr>
      <t xml:space="preserve"> Consultoría</t>
    </r>
  </si>
  <si>
    <r>
      <rPr>
        <b/>
        <sz val="14"/>
        <color rgb="FF666699"/>
        <rFont val="Arial"/>
        <family val="2"/>
      </rPr>
      <t>Área 5</t>
    </r>
    <r>
      <rPr>
        <sz val="11"/>
        <color rgb="FF666699"/>
        <rFont val="Arial"/>
        <family val="2"/>
      </rPr>
      <t xml:space="preserve"> Ciberseguridad</t>
    </r>
  </si>
  <si>
    <r>
      <t xml:space="preserve">Total 2025 </t>
    </r>
    <r>
      <rPr>
        <b/>
        <sz val="11"/>
        <color rgb="FF666699"/>
        <rFont val="Arial"/>
        <family val="2"/>
      </rPr>
      <t>(</t>
    </r>
    <r>
      <rPr>
        <b/>
        <sz val="11"/>
        <color rgb="FF666699"/>
        <rFont val="Wingdings"/>
        <charset val="2"/>
      </rPr>
      <t>á</t>
    </r>
    <r>
      <rPr>
        <b/>
        <sz val="11"/>
        <color rgb="FF666699"/>
        <rFont val="Arial"/>
        <family val="2"/>
      </rPr>
      <t xml:space="preserve"> 4%)</t>
    </r>
  </si>
  <si>
    <r>
      <t xml:space="preserve">Total 2026 </t>
    </r>
    <r>
      <rPr>
        <b/>
        <sz val="11"/>
        <color rgb="FF666699"/>
        <rFont val="Arial"/>
        <family val="2"/>
      </rPr>
      <t>(</t>
    </r>
    <r>
      <rPr>
        <b/>
        <sz val="11"/>
        <color rgb="FF666699"/>
        <rFont val="Wingdings"/>
        <charset val="2"/>
      </rPr>
      <t>á</t>
    </r>
    <r>
      <rPr>
        <b/>
        <sz val="11"/>
        <color rgb="FF666699"/>
        <rFont val="Arial"/>
        <family val="2"/>
      </rPr>
      <t xml:space="preserve"> 3%)</t>
    </r>
  </si>
  <si>
    <r>
      <t xml:space="preserve">Total 2027 </t>
    </r>
    <r>
      <rPr>
        <b/>
        <sz val="11"/>
        <color rgb="FF666699"/>
        <rFont val="Arial"/>
        <family val="2"/>
      </rPr>
      <t>(</t>
    </r>
    <r>
      <rPr>
        <b/>
        <sz val="11"/>
        <color rgb="FF666699"/>
        <rFont val="Wingdings"/>
        <charset val="2"/>
      </rPr>
      <t>á</t>
    </r>
    <r>
      <rPr>
        <b/>
        <sz val="11"/>
        <color rgb="FF666699"/>
        <rFont val="Arial"/>
        <family val="2"/>
      </rPr>
      <t xml:space="preserve"> 3%)</t>
    </r>
  </si>
  <si>
    <t>Retención Especial IRPF (Parte NO Exenta)</t>
  </si>
  <si>
    <t>Ex Plus Convenio 2022</t>
  </si>
  <si>
    <t>Comp. Absorbible</t>
  </si>
  <si>
    <t>Otros Conceptos Salariales</t>
  </si>
  <si>
    <t>Aumento de Trienio</t>
  </si>
  <si>
    <t>Aumento TOTAL</t>
  </si>
  <si>
    <t>Aumento TOTAL sin Trienio</t>
  </si>
  <si>
    <t>Aumento Salario Base y Plus Conv.</t>
  </si>
  <si>
    <t>Tablas Aplicadas</t>
  </si>
  <si>
    <t>Mes del periodo</t>
  </si>
  <si>
    <t>Año del periodo</t>
  </si>
  <si>
    <t>Mes de cálculo</t>
  </si>
  <si>
    <t>COBRADO</t>
  </si>
  <si>
    <t>DEBERÍA HABERSE COBRADO</t>
  </si>
  <si>
    <t>ATRASOS</t>
  </si>
  <si>
    <t>¿?</t>
  </si>
  <si>
    <t>Tablas 2024</t>
  </si>
  <si>
    <t>Tablas 2025</t>
  </si>
  <si>
    <t>Trienios</t>
  </si>
  <si>
    <t>% Jornada Trabajada</t>
  </si>
  <si>
    <t>Fecha inicio periodo</t>
  </si>
  <si>
    <t>Fecha fin periodo</t>
  </si>
  <si>
    <t>Días del periodo</t>
  </si>
  <si>
    <t>Se calcula: 1= SI, 0= NO</t>
  </si>
  <si>
    <t>Complemento que sólo absorbe Trienios</t>
  </si>
  <si>
    <r>
      <rPr>
        <sz val="11"/>
        <color theme="1"/>
        <rFont val="Calibri"/>
        <family val="2"/>
      </rPr>
      <t xml:space="preserve">Σ </t>
    </r>
    <r>
      <rPr>
        <sz val="11"/>
        <color theme="1"/>
        <rFont val="Calibri"/>
        <family val="2"/>
        <scheme val="minor"/>
      </rPr>
      <t>Otros Conceptos</t>
    </r>
  </si>
  <si>
    <t>Σ Otros Conceptos</t>
  </si>
  <si>
    <t>CÁLCULO DE ATRASOS</t>
  </si>
  <si>
    <t>Incremento del trienio COBRADO</t>
  </si>
  <si>
    <t>Incrementos totales COBRADOS</t>
  </si>
  <si>
    <t>Incremento de tablas COBRADO</t>
  </si>
  <si>
    <t>Incrementos totales DEBIERA</t>
  </si>
  <si>
    <t>Incremento del trienio DEBIERA</t>
  </si>
  <si>
    <t>Incremento de tablas DEBIERA</t>
  </si>
  <si>
    <t>Año de antigüedad</t>
  </si>
  <si>
    <t>Complemento que solo Absorbe Trienios</t>
  </si>
  <si>
    <t>Si no tienes el concepto introduce un cero</t>
  </si>
  <si>
    <t>2025 Originales</t>
  </si>
  <si>
    <t>2025 con mínimo el SMI</t>
  </si>
  <si>
    <t>% del Salario Base sobre el Total</t>
  </si>
  <si>
    <t>% del Plus Convenio sobre el Total</t>
  </si>
  <si>
    <t>Incremento por aplicar SMI sobre originales 2025</t>
  </si>
  <si>
    <t>Incremento de 2025 con SMI sobre 2024</t>
  </si>
  <si>
    <t>Cantidad mínima entre niveles &gt;&gt;</t>
  </si>
  <si>
    <t>Compl. que sólo absorbe Trienios</t>
  </si>
  <si>
    <t>DESPLEGABLES</t>
  </si>
  <si>
    <t>Modifica tu categoría profesional según vayas evolucionando al adquirir más experiencia, más conocimientos y más responsabilidades.
Verifica cuando se incrementa tu Salario Bruto y que sucede con los complementos absorbible si los tienes.</t>
  </si>
  <si>
    <r>
      <rPr>
        <sz val="10"/>
        <color theme="1" tint="0.499984740745262"/>
        <rFont val="Aptos Narrow"/>
        <family val="2"/>
      </rPr>
      <t>Σ</t>
    </r>
    <r>
      <rPr>
        <i/>
        <sz val="10"/>
        <color theme="1" tint="0.499984740745262"/>
        <rFont val="Calibri"/>
        <family val="2"/>
        <scheme val="minor"/>
      </rPr>
      <t xml:space="preserve"> Otros Conceptos Salariales</t>
    </r>
  </si>
  <si>
    <t>Subida Salarial</t>
  </si>
  <si>
    <t>% Aumento Total</t>
  </si>
  <si>
    <t>Tablas 2026</t>
  </si>
  <si>
    <t>Tablas 2027</t>
  </si>
  <si>
    <t>Σ Otros Conceptos Salariales</t>
  </si>
  <si>
    <t>Nº de meses a calcular atrasos</t>
  </si>
  <si>
    <t>ATRASOS DESDE (inclusive)</t>
  </si>
  <si>
    <t>Bruto</t>
  </si>
  <si>
    <t>Paga Verano</t>
  </si>
  <si>
    <t>Paga Navidad</t>
  </si>
  <si>
    <t>INICIO DEL CÁLCULO DE ATRASOS</t>
  </si>
  <si>
    <t>GASTOS TELETRABAJO</t>
  </si>
  <si>
    <t xml:space="preserve">Saltos entre niveles en 2025 </t>
  </si>
  <si>
    <t>Versión 1.3</t>
  </si>
  <si>
    <t>% Incrementos de 2025 tras aplicar SMI</t>
  </si>
  <si>
    <t>versión actual:</t>
  </si>
  <si>
    <t>Versión</t>
  </si>
  <si>
    <t>Corrección del % a aplicar en EX Salario Base 2022 y EX Plus Convenio 2022 en categorías actualizadas por el SMI de 2025</t>
  </si>
  <si>
    <r>
      <t>Nómina cobrada en 2024.</t>
    </r>
    <r>
      <rPr>
        <i/>
        <sz val="11"/>
        <color rgb="FF659B6F"/>
        <rFont val="Calibri"/>
        <family val="2"/>
        <scheme val="minor"/>
      </rPr>
      <t xml:space="preserve"> Introduce los datos sombreados.</t>
    </r>
  </si>
  <si>
    <t>Paga de Verano</t>
  </si>
  <si>
    <t>Paga de Navidad</t>
  </si>
  <si>
    <t>TOTAL Bruto</t>
  </si>
  <si>
    <t>Se elimina de la pestaña de Atrasos, el total de atrasos que además de calcular mal, es redundante porque ya existe el TOTAL Bruto de Atrasos</t>
  </si>
  <si>
    <r>
      <t xml:space="preserve">Cambios en tu nómina al pasar de año. </t>
    </r>
    <r>
      <rPr>
        <i/>
        <sz val="11"/>
        <color rgb="FF659B6F"/>
        <rFont val="Calibri"/>
        <family val="2"/>
        <scheme val="minor"/>
      </rPr>
      <t>Puedes modificar los datos sombreados.</t>
    </r>
  </si>
  <si>
    <t>Correcciones o mejoras que incluye la versión</t>
  </si>
  <si>
    <t>Versión 1.4</t>
  </si>
  <si>
    <t>Que las pestañas de progresión salarial y atrasos beban inicialmente de la pestaña de nóminas</t>
  </si>
  <si>
    <t>Se añade nota informativa a la parte de gastos no exenta de tributar</t>
  </si>
  <si>
    <t>Eliminación de texto emergente al visualizar u ocultar conceptos en la nómina y en la jornada de progresión salarial</t>
  </si>
  <si>
    <t>Versión 1.5</t>
  </si>
  <si>
    <r>
      <t>Actualización de tablas 2026 (</t>
    </r>
    <r>
      <rPr>
        <sz val="11"/>
        <color theme="1"/>
        <rFont val="Aptos Narrow"/>
        <family val="2"/>
      </rPr>
      <t xml:space="preserve">↑ </t>
    </r>
    <r>
      <rPr>
        <i/>
        <sz val="11"/>
        <color theme="1"/>
        <rFont val="Calibri"/>
        <family val="2"/>
      </rPr>
      <t>3%)</t>
    </r>
    <r>
      <rPr>
        <i/>
        <sz val="11"/>
        <color theme="1"/>
        <rFont val="Calibri"/>
        <family val="2"/>
        <scheme val="minor"/>
      </rPr>
      <t xml:space="preserve"> y 2027 (</t>
    </r>
    <r>
      <rPr>
        <sz val="11"/>
        <color theme="1"/>
        <rFont val="Aptos Narrow"/>
        <family val="2"/>
      </rPr>
      <t>↑</t>
    </r>
    <r>
      <rPr>
        <i/>
        <sz val="11"/>
        <color theme="1"/>
        <rFont val="Calibri"/>
        <family val="2"/>
      </rPr>
      <t xml:space="preserve"> 3%)</t>
    </r>
    <r>
      <rPr>
        <i/>
        <sz val="11"/>
        <color theme="1"/>
        <rFont val="Calibri"/>
        <family val="2"/>
        <scheme val="minor"/>
      </rPr>
      <t xml:space="preserve"> sobre los aumentos de tablas 2025 por el SMI 2025 y el salto mínimo de 80€ entre niveles</t>
    </r>
  </si>
  <si>
    <t>2025: actulizado el % de aportación a la seguridad social al 4,83%</t>
  </si>
  <si>
    <t>Antonio: cuando se ha tenido una subida de méritos en el absorbible, no se tiene en cuenta en el cálculo de la prorrata de paga extra</t>
  </si>
  <si>
    <t>ATRASOS: corregido el cálculo de Exsalario base o Explus convenio para que tenga en cuenta los % de aumento que no son exactamente del 4% (por la actualización del SMI de 2025)</t>
  </si>
  <si>
    <t>Complemento que sólo absorbe subida de tablas</t>
  </si>
  <si>
    <t>Comp. solo Abs. Trienios</t>
  </si>
  <si>
    <t>Comp. solo Abs. Tablas</t>
  </si>
  <si>
    <t>Comp. Consolidado</t>
  </si>
  <si>
    <t>Antigüedad Consolidada y complemento consolidado en 14 pagas a tener en cuenta en el prorrateo</t>
  </si>
  <si>
    <t>Añadir un concepto que únicamente absorba subida de tablas y no pueda absorber trienios</t>
  </si>
  <si>
    <t>Casos de complementos</t>
  </si>
  <si>
    <t>Tienes 1 complemento absorbible</t>
  </si>
  <si>
    <t>Tienes 1 complemento que únicamente puede absorber trienios</t>
  </si>
  <si>
    <t>Tienes 1 complemento que únicamente puede absorber subidas de tablas</t>
  </si>
  <si>
    <t>F</t>
  </si>
  <si>
    <t>G</t>
  </si>
  <si>
    <t>Tienes 3 complementos absorbibles, 1º actúa el comp. Absorbible, 2º actúa el comp. Abs. Trienios, 3º comp. Abs. Tablas</t>
  </si>
  <si>
    <t>Tienes 2 complementos absorbibles, 1º actúa el comp. Absorbible y luego el comp. Abs Trienios</t>
  </si>
  <si>
    <t>Tienes 2 complementos absorbibles, 1º actúa el comp. Absorbible y luego el comp. Abs Subidas de Tablas</t>
  </si>
  <si>
    <t>Tienes 2 complementos aborbibles, uno absorbe únicamente Trienios y el otro absorbe únicamente subidas de tablas</t>
  </si>
  <si>
    <t>Nely: que el campo de seguros sociales, ponerlo editable porque no todo el mundo tiene la misma cantidad</t>
  </si>
  <si>
    <t>Pendiente de absorber</t>
  </si>
  <si>
    <t>Tablas</t>
  </si>
  <si>
    <t>Trieno</t>
  </si>
  <si>
    <t>Aumentos al 100% de la jornada de:</t>
  </si>
  <si>
    <t>Gastos de teletrabajo (aplicar en 14 pagas)</t>
  </si>
  <si>
    <t>1º Tablas
2º Trienio</t>
  </si>
  <si>
    <t>Sobrante del C. Absorbible</t>
  </si>
  <si>
    <t>1º Trienio
2º Tablas</t>
  </si>
  <si>
    <t>Si existen 3 complementos absorbibles: 1º tablas 2º trienio.
Si existen 2 complementos absorbibles, el complemento absorbible general absorbe primero de lo que no puede absorber el 2º complemento absorbible</t>
  </si>
  <si>
    <t>Ver cálculos</t>
  </si>
  <si>
    <r>
      <t xml:space="preserve">Complemento que sólo </t>
    </r>
    <r>
      <rPr>
        <b/>
        <sz val="11"/>
        <color theme="1"/>
        <rFont val="Calibri"/>
        <family val="2"/>
        <scheme val="minor"/>
      </rPr>
      <t>absorbe Trienios</t>
    </r>
  </si>
  <si>
    <t>Tope máximo en la base de cotización para que los descuentos no se apliquen al total (Máximo en 2025 = 4.909,50)</t>
  </si>
  <si>
    <r>
      <rPr>
        <b/>
        <sz val="12"/>
        <color theme="0"/>
        <rFont val="Wingdings"/>
        <charset val="2"/>
      </rPr>
      <t>á</t>
    </r>
    <r>
      <rPr>
        <b/>
        <sz val="12"/>
        <color theme="0"/>
        <rFont val="Calibri"/>
        <family val="2"/>
        <scheme val="minor"/>
      </rPr>
      <t xml:space="preserve"> tablas</t>
    </r>
  </si>
  <si>
    <r>
      <rPr>
        <b/>
        <sz val="12"/>
        <color theme="0"/>
        <rFont val="Wingdings"/>
        <charset val="2"/>
      </rPr>
      <t>á</t>
    </r>
    <r>
      <rPr>
        <b/>
        <sz val="12"/>
        <color theme="0"/>
        <rFont val="Calibri"/>
        <family val="2"/>
      </rPr>
      <t xml:space="preserve"> trienio</t>
    </r>
  </si>
  <si>
    <r>
      <rPr>
        <b/>
        <sz val="12"/>
        <color theme="0"/>
        <rFont val="Wingdings"/>
        <charset val="2"/>
      </rPr>
      <t>á</t>
    </r>
    <r>
      <rPr>
        <b/>
        <sz val="12"/>
        <color theme="0"/>
        <rFont val="Calibri"/>
        <family val="2"/>
      </rPr>
      <t xml:space="preserve"> </t>
    </r>
    <r>
      <rPr>
        <b/>
        <sz val="12"/>
        <color theme="0"/>
        <rFont val="Calibri"/>
        <family val="2"/>
        <scheme val="minor"/>
      </rPr>
      <t>total</t>
    </r>
  </si>
  <si>
    <r>
      <rPr>
        <b/>
        <sz val="12"/>
        <color theme="0"/>
        <rFont val="Wingdings"/>
        <charset val="2"/>
      </rPr>
      <t>á</t>
    </r>
    <r>
      <rPr>
        <b/>
        <sz val="12"/>
        <color theme="0"/>
        <rFont val="Calibri"/>
        <family val="2"/>
      </rPr>
      <t xml:space="preserve"> real</t>
    </r>
  </si>
  <si>
    <t>Z</t>
  </si>
  <si>
    <t>(con tablas de 2024)</t>
  </si>
  <si>
    <r>
      <t>Nómina cobrada en 2025.</t>
    </r>
    <r>
      <rPr>
        <i/>
        <sz val="11"/>
        <color rgb="FF659B6F"/>
        <rFont val="Calibri"/>
        <family val="2"/>
        <scheme val="minor"/>
      </rPr>
      <t xml:space="preserve"> Introduce los datos sombreados.</t>
    </r>
  </si>
  <si>
    <r>
      <t xml:space="preserve">Cambios al aplicar subida sectorial. </t>
    </r>
    <r>
      <rPr>
        <i/>
        <sz val="11"/>
        <color rgb="FF659B6F"/>
        <rFont val="Calibri"/>
        <family val="2"/>
        <scheme val="minor"/>
      </rPr>
      <t>Puedes modificar los datos sombreados.</t>
    </r>
  </si>
  <si>
    <t>Comp. Abs. Trienios</t>
  </si>
  <si>
    <t>Pendiente de añadir el concepto que únicamente absorbe tablas en pestaña de atrasos y progresión salarial</t>
  </si>
  <si>
    <t>NO SE ESTO &gt;&gt; P.Variable que aparece en el resumen de la nómina, es la prorrata de la parte variable del salario que debería tenerse en cuenta en las bases????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</si>
</sst>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7">
    <font>
      <sz val="11"/>
      <color theme="1"/>
      <name val="Calibri"/>
      <family val="2"/>
      <scheme val="minor"/>
    </font>
    <font>
      <b/>
      <sz val="11"/>
      <color theme="0"/>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20"/>
      <color rgb="FF666699"/>
      <name val="Arial Black"/>
      <family val="2"/>
    </font>
    <font>
      <sz val="10"/>
      <color theme="1"/>
      <name val="Calibri"/>
      <family val="2"/>
      <scheme val="minor"/>
    </font>
    <font>
      <i/>
      <u/>
      <sz val="11"/>
      <color rgb="FF666699"/>
      <name val="Calibri"/>
      <family val="2"/>
      <scheme val="minor"/>
    </font>
    <font>
      <sz val="12"/>
      <color theme="1" tint="0.499984740745262"/>
      <name val="Calibri"/>
      <family val="2"/>
      <scheme val="minor"/>
    </font>
    <font>
      <sz val="10"/>
      <color theme="1"/>
      <name val="Arial"/>
      <family val="2"/>
    </font>
    <font>
      <sz val="10"/>
      <color rgb="FF000000"/>
      <name val="Arial"/>
      <family val="2"/>
    </font>
    <font>
      <b/>
      <sz val="10"/>
      <color theme="1"/>
      <name val="Arial"/>
      <family val="2"/>
    </font>
    <font>
      <sz val="10"/>
      <color theme="1" tint="0.499984740745262"/>
      <name val="Calibri"/>
      <family val="2"/>
      <scheme val="minor"/>
    </font>
    <font>
      <sz val="9"/>
      <color indexed="81"/>
      <name val="Tahoma"/>
      <family val="2"/>
    </font>
    <font>
      <b/>
      <sz val="9"/>
      <color indexed="81"/>
      <name val="Tahoma"/>
      <family val="2"/>
    </font>
    <font>
      <sz val="9"/>
      <color indexed="81"/>
      <name val="Arial Nova"/>
      <family val="2"/>
    </font>
    <font>
      <sz val="12"/>
      <color rgb="FF666699"/>
      <name val="Webdings"/>
      <family val="1"/>
      <charset val="2"/>
    </font>
    <font>
      <sz val="12"/>
      <color rgb="FF666699"/>
      <name val="Calibri"/>
      <family val="2"/>
      <scheme val="minor"/>
    </font>
    <font>
      <b/>
      <i/>
      <sz val="10"/>
      <color indexed="81"/>
      <name val="Arial Nova"/>
      <family val="2"/>
    </font>
    <font>
      <i/>
      <sz val="10"/>
      <color indexed="81"/>
      <name val="Arial Nova"/>
      <family val="2"/>
    </font>
    <font>
      <b/>
      <sz val="10"/>
      <color indexed="81"/>
      <name val="Arial Nova"/>
      <family val="2"/>
    </font>
    <font>
      <sz val="10"/>
      <color indexed="81"/>
      <name val="Tahoma"/>
      <family val="2"/>
    </font>
    <font>
      <i/>
      <sz val="10"/>
      <color indexed="81"/>
      <name val="Tahoma"/>
      <family val="2"/>
    </font>
    <font>
      <b/>
      <i/>
      <sz val="10"/>
      <color indexed="81"/>
      <name val="Tahoma"/>
      <family val="2"/>
    </font>
    <font>
      <i/>
      <sz val="12"/>
      <color rgb="FF666699"/>
      <name val="Calibri"/>
      <family val="2"/>
      <scheme val="minor"/>
    </font>
    <font>
      <i/>
      <u/>
      <sz val="10"/>
      <color indexed="81"/>
      <name val="Arial Nova"/>
      <family val="2"/>
    </font>
    <font>
      <b/>
      <i/>
      <u/>
      <sz val="10"/>
      <color indexed="81"/>
      <name val="Arial Nova"/>
      <family val="2"/>
    </font>
    <font>
      <b/>
      <sz val="12"/>
      <name val="Calibri"/>
      <family val="2"/>
      <scheme val="minor"/>
    </font>
    <font>
      <b/>
      <i/>
      <sz val="10"/>
      <color rgb="FF666699"/>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0" tint="-0.499984740745262"/>
      <name val="Calibri"/>
      <family val="2"/>
      <scheme val="minor"/>
    </font>
    <font>
      <sz val="11"/>
      <color theme="0" tint="-0.499984740745262"/>
      <name val="Calibri"/>
      <family val="2"/>
      <scheme val="minor"/>
    </font>
    <font>
      <sz val="12"/>
      <color theme="0"/>
      <name val="Calibri"/>
      <family val="2"/>
      <scheme val="minor"/>
    </font>
    <font>
      <sz val="11"/>
      <name val="Calibri"/>
      <family val="2"/>
      <scheme val="minor"/>
    </font>
    <font>
      <b/>
      <i/>
      <sz val="18"/>
      <color theme="1"/>
      <name val="Calibri"/>
      <family val="2"/>
      <scheme val="minor"/>
    </font>
    <font>
      <b/>
      <i/>
      <sz val="12"/>
      <color rgb="FF666699"/>
      <name val="Calibri"/>
      <family val="2"/>
      <scheme val="minor"/>
    </font>
    <font>
      <b/>
      <i/>
      <sz val="22"/>
      <color rgb="FF666699"/>
      <name val="Calibri"/>
      <family val="2"/>
      <scheme val="minor"/>
    </font>
    <font>
      <b/>
      <i/>
      <sz val="12"/>
      <color rgb="FF666699"/>
      <name val="Calibri"/>
      <family val="1"/>
      <charset val="2"/>
      <scheme val="minor"/>
    </font>
    <font>
      <i/>
      <sz val="12"/>
      <color rgb="FF666699"/>
      <name val="Calibri"/>
      <family val="2"/>
    </font>
    <font>
      <i/>
      <sz val="12"/>
      <color rgb="FF666699"/>
      <name val="Calibri"/>
      <family val="1"/>
      <charset val="2"/>
      <scheme val="minor"/>
    </font>
    <font>
      <b/>
      <i/>
      <sz val="18"/>
      <color rgb="FF666699"/>
      <name val="Calibri"/>
      <family val="2"/>
      <scheme val="minor"/>
    </font>
    <font>
      <sz val="12"/>
      <color theme="9" tint="-0.499984740745262"/>
      <name val="Webdings"/>
      <family val="1"/>
      <charset val="2"/>
    </font>
    <font>
      <i/>
      <sz val="12"/>
      <color theme="9" tint="-0.499984740745262"/>
      <name val="Calibri"/>
      <family val="1"/>
      <charset val="2"/>
      <scheme val="minor"/>
    </font>
    <font>
      <i/>
      <sz val="12"/>
      <color theme="9" tint="-0.499984740745262"/>
      <name val="Calibri"/>
      <family val="2"/>
      <scheme val="minor"/>
    </font>
    <font>
      <b/>
      <i/>
      <sz val="22"/>
      <color theme="9" tint="-0.499984740745262"/>
      <name val="Calibri"/>
      <family val="2"/>
      <scheme val="minor"/>
    </font>
    <font>
      <b/>
      <i/>
      <sz val="12"/>
      <color theme="9" tint="-0.499984740745262"/>
      <name val="Calibri"/>
      <family val="2"/>
      <scheme val="minor"/>
    </font>
    <font>
      <i/>
      <sz val="9"/>
      <color rgb="FF666699"/>
      <name val="Calibri"/>
      <family val="2"/>
      <scheme val="minor"/>
    </font>
    <font>
      <sz val="10"/>
      <color rgb="FF666699"/>
      <name val="Calibri"/>
      <family val="2"/>
      <scheme val="minor"/>
    </font>
    <font>
      <sz val="26"/>
      <color rgb="FF589B58"/>
      <name val="Arial Black"/>
      <family val="2"/>
    </font>
    <font>
      <i/>
      <sz val="11"/>
      <color rgb="FF666699"/>
      <name val="Calibri"/>
      <family val="2"/>
      <scheme val="minor"/>
    </font>
    <font>
      <sz val="11"/>
      <color theme="0" tint="-0.34998626667073579"/>
      <name val="Calibri"/>
      <family val="2"/>
      <scheme val="minor"/>
    </font>
    <font>
      <sz val="11"/>
      <color theme="1"/>
      <name val="Calibri"/>
      <family val="2"/>
    </font>
    <font>
      <b/>
      <sz val="11"/>
      <color theme="1"/>
      <name val="Calibri"/>
      <family val="2"/>
    </font>
    <font>
      <sz val="14"/>
      <color theme="1"/>
      <name val="Calibri"/>
      <family val="2"/>
      <scheme val="minor"/>
    </font>
    <font>
      <sz val="14"/>
      <color theme="1" tint="0.499984740745262"/>
      <name val="Calibri"/>
      <family val="2"/>
      <scheme val="minor"/>
    </font>
    <font>
      <sz val="10"/>
      <name val="Calibri"/>
      <family val="2"/>
      <scheme val="minor"/>
    </font>
    <font>
      <sz val="10"/>
      <color theme="0" tint="-0.499984740745262"/>
      <name val="Calibri"/>
      <family val="2"/>
      <scheme val="minor"/>
    </font>
    <font>
      <b/>
      <i/>
      <sz val="11"/>
      <color rgb="FF666699"/>
      <name val="Calibri"/>
      <family val="2"/>
      <scheme val="minor"/>
    </font>
    <font>
      <b/>
      <sz val="16"/>
      <color theme="1"/>
      <name val="Calibri"/>
      <family val="2"/>
      <scheme val="minor"/>
    </font>
    <font>
      <b/>
      <sz val="18"/>
      <color theme="1"/>
      <name val="Calibri"/>
      <family val="2"/>
      <scheme val="minor"/>
    </font>
    <font>
      <b/>
      <sz val="14"/>
      <color theme="0"/>
      <name val="Calibri"/>
      <family val="2"/>
      <scheme val="minor"/>
    </font>
    <font>
      <sz val="14"/>
      <color theme="0"/>
      <name val="Calibri"/>
      <family val="2"/>
      <scheme val="minor"/>
    </font>
    <font>
      <b/>
      <sz val="12"/>
      <color rgb="FF589B58"/>
      <name val="Arial Nova"/>
      <family val="2"/>
    </font>
    <font>
      <u/>
      <sz val="11"/>
      <color theme="10"/>
      <name val="Calibri"/>
      <family val="2"/>
      <scheme val="minor"/>
    </font>
    <font>
      <b/>
      <i/>
      <u/>
      <sz val="11"/>
      <color rgb="FF666699"/>
      <name val="Calibri"/>
      <family val="2"/>
      <scheme val="minor"/>
    </font>
    <font>
      <b/>
      <sz val="10"/>
      <color theme="0" tint="-0.499984740745262"/>
      <name val="Calibri"/>
      <family val="2"/>
      <scheme val="minor"/>
    </font>
    <font>
      <i/>
      <sz val="11"/>
      <color rgb="FF589B58"/>
      <name val="Calibri"/>
      <family val="2"/>
      <scheme val="minor"/>
    </font>
    <font>
      <b/>
      <sz val="20"/>
      <color theme="1"/>
      <name val="Calibri"/>
      <family val="2"/>
      <scheme val="minor"/>
    </font>
    <font>
      <b/>
      <i/>
      <sz val="14"/>
      <color rgb="FF666699"/>
      <name val="Calibri"/>
      <family val="1"/>
      <charset val="2"/>
      <scheme val="minor"/>
    </font>
    <font>
      <b/>
      <sz val="14"/>
      <color rgb="FF666699"/>
      <name val="Webdings"/>
      <family val="1"/>
      <charset val="2"/>
    </font>
    <font>
      <b/>
      <i/>
      <sz val="14"/>
      <color rgb="FF666699"/>
      <name val="Calibri"/>
      <family val="2"/>
      <scheme val="minor"/>
    </font>
    <font>
      <b/>
      <i/>
      <sz val="14"/>
      <color rgb="FF666699"/>
      <name val="Calibri"/>
      <family val="2"/>
    </font>
    <font>
      <b/>
      <i/>
      <sz val="14"/>
      <color theme="9" tint="-0.499984740745262"/>
      <name val="Calibri"/>
      <family val="1"/>
      <charset val="2"/>
      <scheme val="minor"/>
    </font>
    <font>
      <b/>
      <sz val="14"/>
      <color theme="9" tint="-0.499984740745262"/>
      <name val="Webdings"/>
      <family val="1"/>
      <charset val="2"/>
    </font>
    <font>
      <b/>
      <i/>
      <sz val="14"/>
      <color theme="9" tint="-0.499984740745262"/>
      <name val="Calibri"/>
      <family val="2"/>
      <scheme val="minor"/>
    </font>
    <font>
      <sz val="11"/>
      <color rgb="FF666699"/>
      <name val="Arial"/>
      <family val="2"/>
    </font>
    <font>
      <b/>
      <sz val="11"/>
      <color rgb="FF666699"/>
      <name val="Arial"/>
      <family val="2"/>
    </font>
    <font>
      <b/>
      <sz val="14"/>
      <color rgb="FF666699"/>
      <name val="Arial"/>
      <family val="2"/>
    </font>
    <font>
      <sz val="11"/>
      <color theme="0"/>
      <name val="Arial"/>
      <family val="2"/>
    </font>
    <font>
      <b/>
      <sz val="16"/>
      <color rgb="FF666699"/>
      <name val="Arial"/>
      <family val="2"/>
    </font>
    <font>
      <b/>
      <sz val="11"/>
      <color rgb="FF666699"/>
      <name val="Wingdings"/>
      <charset val="2"/>
    </font>
    <font>
      <sz val="10"/>
      <color theme="0"/>
      <name val="Calibri"/>
      <family val="2"/>
      <scheme val="minor"/>
    </font>
    <font>
      <sz val="11"/>
      <color rgb="FF666699"/>
      <name val="Calibri"/>
      <family val="2"/>
      <scheme val="minor"/>
    </font>
    <font>
      <b/>
      <sz val="10"/>
      <color rgb="FF589B58"/>
      <name val="Calibri"/>
      <family val="2"/>
      <scheme val="minor"/>
    </font>
    <font>
      <b/>
      <sz val="9"/>
      <color rgb="FF589B58"/>
      <name val="Arial Nova"/>
      <family val="2"/>
    </font>
    <font>
      <sz val="8"/>
      <color theme="1"/>
      <name val="Calibri"/>
      <family val="2"/>
      <scheme val="minor"/>
    </font>
    <font>
      <sz val="11"/>
      <color rgb="FF666699"/>
      <name val="Webdings"/>
      <family val="1"/>
      <charset val="2"/>
    </font>
    <font>
      <b/>
      <sz val="28"/>
      <color rgb="FF589B58"/>
      <name val="Calibri"/>
      <family val="2"/>
      <scheme val="minor"/>
    </font>
    <font>
      <b/>
      <sz val="28"/>
      <color rgb="FF659B6F"/>
      <name val="Calibri"/>
      <family val="2"/>
      <scheme val="minor"/>
    </font>
    <font>
      <b/>
      <sz val="36"/>
      <color rgb="FF659B6F"/>
      <name val="Calibri"/>
      <family val="2"/>
      <scheme val="minor"/>
    </font>
    <font>
      <sz val="12"/>
      <color rgb="FF659B6F"/>
      <name val="Calibri"/>
      <family val="2"/>
      <scheme val="minor"/>
    </font>
    <font>
      <i/>
      <sz val="12"/>
      <color rgb="FF659B6F"/>
      <name val="Calibri"/>
      <family val="2"/>
      <scheme val="minor"/>
    </font>
    <font>
      <i/>
      <sz val="11"/>
      <color rgb="FF659B6F"/>
      <name val="Calibri"/>
      <family val="2"/>
      <scheme val="minor"/>
    </font>
    <font>
      <sz val="8"/>
      <color theme="0" tint="-0.499984740745262"/>
      <name val="Calibri"/>
      <family val="2"/>
      <scheme val="minor"/>
    </font>
    <font>
      <sz val="8"/>
      <color theme="0" tint="-0.34998626667073579"/>
      <name val="Calibri"/>
      <family val="2"/>
      <scheme val="minor"/>
    </font>
    <font>
      <sz val="14"/>
      <color rgb="FF589B58"/>
      <name val="Arial Black"/>
      <family val="2"/>
    </font>
    <font>
      <i/>
      <sz val="11"/>
      <color theme="1" tint="0.499984740745262"/>
      <name val="Calibri"/>
      <family val="2"/>
      <scheme val="minor"/>
    </font>
    <font>
      <i/>
      <sz val="10"/>
      <color theme="1" tint="0.499984740745262"/>
      <name val="Calibri"/>
      <family val="2"/>
      <scheme val="minor"/>
    </font>
    <font>
      <b/>
      <sz val="11"/>
      <name val="Calibri"/>
      <family val="2"/>
      <scheme val="minor"/>
    </font>
    <font>
      <sz val="10"/>
      <color theme="1" tint="0.499984740745262"/>
      <name val="Aptos Narrow"/>
      <family val="2"/>
    </font>
    <font>
      <sz val="10"/>
      <color theme="0" tint="-0.14999847407452621"/>
      <name val="Calibri"/>
      <family val="2"/>
      <scheme val="minor"/>
    </font>
    <font>
      <sz val="11"/>
      <color theme="1" tint="0.499984740745262"/>
      <name val="Calibri"/>
      <family val="2"/>
      <scheme val="minor"/>
    </font>
    <font>
      <b/>
      <sz val="12"/>
      <color rgb="FF666699"/>
      <name val="Arial"/>
      <family val="2"/>
    </font>
    <font>
      <sz val="8"/>
      <color rgb="FF666699"/>
      <name val="Calibri"/>
      <family val="2"/>
      <scheme val="minor"/>
    </font>
    <font>
      <sz val="9"/>
      <color rgb="FF666699"/>
      <name val="Arial"/>
      <family val="2"/>
    </font>
    <font>
      <sz val="8"/>
      <color rgb="FF666699"/>
      <name val="Arial"/>
      <family val="2"/>
    </font>
    <font>
      <b/>
      <sz val="12"/>
      <color rgb="FF659B6F"/>
      <name val="Calibri"/>
      <family val="2"/>
      <scheme val="minor"/>
    </font>
    <font>
      <b/>
      <sz val="11"/>
      <color rgb="FF659B6F"/>
      <name val="Calibri"/>
      <family val="2"/>
      <scheme val="minor"/>
    </font>
    <font>
      <sz val="12"/>
      <color rgb="FF659B6F"/>
      <name val="Webdings"/>
      <family val="1"/>
      <charset val="2"/>
    </font>
    <font>
      <sz val="10"/>
      <color theme="1" tint="0.499984740745262"/>
      <name val="Arial"/>
      <family val="2"/>
    </font>
    <font>
      <b/>
      <sz val="10"/>
      <color rgb="FF659B6F"/>
      <name val="Calibri"/>
      <family val="2"/>
      <scheme val="minor"/>
    </font>
    <font>
      <i/>
      <sz val="8"/>
      <color rgb="FF666699"/>
      <name val="Calibri"/>
      <family val="2"/>
      <scheme val="minor"/>
    </font>
    <font>
      <b/>
      <sz val="12"/>
      <color theme="1" tint="0.499984740745262"/>
      <name val="Calibri"/>
      <family val="2"/>
      <scheme val="minor"/>
    </font>
    <font>
      <sz val="11"/>
      <color theme="0" tint="-0.249977111117893"/>
      <name val="Calibri"/>
      <family val="2"/>
      <scheme val="minor"/>
    </font>
    <font>
      <b/>
      <i/>
      <sz val="11"/>
      <color rgb="FF659B6F"/>
      <name val="Calibri"/>
      <family val="2"/>
      <scheme val="minor"/>
    </font>
    <font>
      <b/>
      <sz val="18"/>
      <color rgb="FF659B6F"/>
      <name val="Calibri"/>
      <family val="2"/>
      <scheme val="minor"/>
    </font>
    <font>
      <b/>
      <sz val="11"/>
      <color theme="0" tint="-0.499984740745262"/>
      <name val="Calibri"/>
      <family val="2"/>
      <scheme val="minor"/>
    </font>
    <font>
      <sz val="26"/>
      <color rgb="FFC00000"/>
      <name val="Arial Black"/>
      <family val="2"/>
    </font>
    <font>
      <b/>
      <sz val="16"/>
      <color theme="0"/>
      <name val="Calibri"/>
      <family val="2"/>
      <scheme val="minor"/>
    </font>
    <font>
      <i/>
      <sz val="11"/>
      <color theme="1"/>
      <name val="Calibri"/>
      <family val="2"/>
      <scheme val="minor"/>
    </font>
    <font>
      <b/>
      <i/>
      <sz val="11"/>
      <color theme="0" tint="-0.499984740745262"/>
      <name val="Calibri"/>
      <family val="2"/>
      <scheme val="minor"/>
    </font>
    <font>
      <sz val="10"/>
      <color indexed="81"/>
      <name val="Arial Nova"/>
      <family val="2"/>
    </font>
    <font>
      <sz val="11"/>
      <color rgb="FFFF0000"/>
      <name val="Calibri"/>
      <family val="2"/>
      <scheme val="minor"/>
    </font>
    <font>
      <b/>
      <sz val="10"/>
      <name val="Calibri"/>
      <family val="2"/>
      <scheme val="minor"/>
    </font>
    <font>
      <sz val="11"/>
      <color theme="1"/>
      <name val="Aptos Narrow"/>
      <family val="2"/>
    </font>
    <font>
      <i/>
      <sz val="11"/>
      <color theme="1"/>
      <name val="Calibri"/>
      <family val="2"/>
    </font>
    <font>
      <b/>
      <i/>
      <sz val="16"/>
      <color rgb="FF659B6F"/>
      <name val="Calibri"/>
      <family val="2"/>
      <scheme val="minor"/>
    </font>
    <font>
      <i/>
      <sz val="11"/>
      <color rgb="FFFF0000"/>
      <name val="Calibri"/>
      <family val="2"/>
      <scheme val="minor"/>
    </font>
    <font>
      <b/>
      <i/>
      <sz val="12"/>
      <color rgb="FFFF0000"/>
      <name val="Calibri"/>
      <family val="2"/>
      <scheme val="minor"/>
    </font>
    <font>
      <sz val="9"/>
      <color theme="1"/>
      <name val="Calibri"/>
      <family val="2"/>
      <scheme val="minor"/>
    </font>
    <font>
      <sz val="12"/>
      <name val="Calibri"/>
      <family val="2"/>
      <scheme val="minor"/>
    </font>
    <font>
      <sz val="12"/>
      <color theme="0" tint="-0.14999847407452621"/>
      <name val="Calibri"/>
      <family val="2"/>
      <scheme val="minor"/>
    </font>
    <font>
      <sz val="9"/>
      <color theme="0" tint="-0.14999847407452621"/>
      <name val="Calibri"/>
      <family val="2"/>
      <scheme val="minor"/>
    </font>
    <font>
      <sz val="9"/>
      <color theme="0" tint="-0.249977111117893"/>
      <name val="Calibri"/>
      <family val="2"/>
      <scheme val="minor"/>
    </font>
    <font>
      <sz val="10"/>
      <color theme="0" tint="-0.249977111117893"/>
      <name val="Calibri"/>
      <family val="2"/>
      <scheme val="minor"/>
    </font>
    <font>
      <b/>
      <sz val="12"/>
      <color theme="0" tint="-0.249977111117893"/>
      <name val="Calibri"/>
      <family val="2"/>
      <scheme val="minor"/>
    </font>
    <font>
      <i/>
      <sz val="9"/>
      <color theme="0" tint="-0.249977111117893"/>
      <name val="Calibri"/>
      <family val="2"/>
      <scheme val="minor"/>
    </font>
    <font>
      <i/>
      <sz val="11"/>
      <color theme="0" tint="-0.249977111117893"/>
      <name val="Calibri"/>
      <family val="2"/>
      <scheme val="minor"/>
    </font>
    <font>
      <b/>
      <sz val="10"/>
      <color theme="0" tint="-0.249977111117893"/>
      <name val="Calibri"/>
      <family val="2"/>
      <scheme val="minor"/>
    </font>
    <font>
      <b/>
      <sz val="16"/>
      <color theme="0" tint="-0.14999847407452621"/>
      <name val="Calibri"/>
      <family val="2"/>
      <scheme val="minor"/>
    </font>
    <font>
      <b/>
      <sz val="12"/>
      <color theme="0"/>
      <name val="Wingdings"/>
      <charset val="2"/>
    </font>
    <font>
      <b/>
      <sz val="12"/>
      <color theme="0"/>
      <name val="Calibri"/>
      <family val="2"/>
    </font>
    <font>
      <b/>
      <sz val="12"/>
      <color theme="0"/>
      <name val="Calibri"/>
      <family val="2"/>
      <charset val="2"/>
      <scheme val="minor"/>
    </font>
    <font>
      <b/>
      <sz val="12"/>
      <color theme="0"/>
      <name val="Calibri"/>
      <family val="2"/>
      <charset val="2"/>
    </font>
    <font>
      <b/>
      <sz val="12"/>
      <color rgb="FF666699"/>
      <name val="Calibri"/>
      <family val="2"/>
      <scheme val="minor"/>
    </font>
  </fonts>
  <fills count="20">
    <fill>
      <patternFill patternType="none"/>
    </fill>
    <fill>
      <patternFill patternType="gray125"/>
    </fill>
    <fill>
      <patternFill patternType="solid">
        <fgColor theme="0"/>
        <bgColor indexed="64"/>
      </patternFill>
    </fill>
    <fill>
      <patternFill patternType="solid">
        <fgColor rgb="FF666699"/>
        <bgColor indexed="64"/>
      </patternFill>
    </fill>
    <fill>
      <patternFill patternType="solid">
        <fgColor theme="7" tint="0.79998168889431442"/>
        <bgColor indexed="64"/>
      </patternFill>
    </fill>
    <fill>
      <patternFill patternType="solid">
        <fgColor rgb="FF589B58"/>
        <bgColor indexed="64"/>
      </patternFill>
    </fill>
    <fill>
      <patternFill patternType="solid">
        <fgColor theme="0" tint="-0.34998626667073579"/>
        <bgColor indexed="64"/>
      </patternFill>
    </fill>
    <fill>
      <patternFill patternType="solid">
        <fgColor theme="7"/>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5D5E3"/>
        <bgColor indexed="64"/>
      </patternFill>
    </fill>
    <fill>
      <patternFill patternType="solid">
        <fgColor rgb="FFE3E3ED"/>
        <bgColor indexed="64"/>
      </patternFill>
    </fill>
    <fill>
      <patternFill patternType="solid">
        <fgColor theme="9" tint="0.59999389629810485"/>
        <bgColor indexed="64"/>
      </patternFill>
    </fill>
    <fill>
      <patternFill patternType="solid">
        <fgColor rgb="FFDADAE6"/>
        <bgColor indexed="64"/>
      </patternFill>
    </fill>
    <fill>
      <patternFill patternType="solid">
        <fgColor rgb="FF659B6F"/>
        <bgColor indexed="64"/>
      </patternFill>
    </fill>
    <fill>
      <patternFill patternType="solid">
        <fgColor theme="5" tint="-0.249977111117893"/>
        <bgColor indexed="64"/>
      </patternFill>
    </fill>
    <fill>
      <patternFill patternType="solid">
        <fgColor rgb="FFD7E5DA"/>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tint="0.59999389629810485"/>
        <bgColor indexed="64"/>
      </patternFill>
    </fill>
  </fills>
  <borders count="198">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ck">
        <color theme="0"/>
      </right>
      <top/>
      <bottom/>
      <diagonal/>
    </border>
    <border>
      <left style="thick">
        <color theme="0"/>
      </left>
      <right/>
      <top/>
      <bottom/>
      <diagonal/>
    </border>
    <border>
      <left style="thick">
        <color theme="0"/>
      </left>
      <right style="thick">
        <color theme="0"/>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dotted">
        <color theme="0" tint="-0.14996795556505021"/>
      </bottom>
      <diagonal/>
    </border>
    <border>
      <left/>
      <right/>
      <top style="dotted">
        <color theme="0" tint="-0.14996795556505021"/>
      </top>
      <bottom style="dotted">
        <color theme="0" tint="-0.14996795556505021"/>
      </bottom>
      <diagonal/>
    </border>
    <border>
      <left style="thick">
        <color theme="0"/>
      </left>
      <right style="thick">
        <color theme="0"/>
      </right>
      <top style="dotted">
        <color theme="0" tint="-0.14996795556505021"/>
      </top>
      <bottom style="dotted">
        <color theme="0" tint="-0.14996795556505021"/>
      </bottom>
      <diagonal/>
    </border>
    <border>
      <left style="thick">
        <color theme="0"/>
      </left>
      <right style="thick">
        <color theme="0"/>
      </right>
      <top/>
      <bottom style="dotted">
        <color theme="0" tint="-0.14996795556505021"/>
      </bottom>
      <diagonal/>
    </border>
    <border>
      <left/>
      <right style="thick">
        <color theme="0"/>
      </right>
      <top style="dotted">
        <color theme="0" tint="-0.14996795556505021"/>
      </top>
      <bottom style="dotted">
        <color theme="0" tint="-0.14996795556505021"/>
      </bottom>
      <diagonal/>
    </border>
    <border>
      <left/>
      <right style="thick">
        <color theme="0"/>
      </right>
      <top/>
      <bottom style="dotted">
        <color theme="0" tint="-0.1499679555650502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theme="0"/>
      </left>
      <right/>
      <top/>
      <bottom style="dotted">
        <color theme="0" tint="-0.14996795556505021"/>
      </bottom>
      <diagonal/>
    </border>
    <border>
      <left/>
      <right/>
      <top style="dotted">
        <color theme="0" tint="-0.14993743705557422"/>
      </top>
      <bottom style="dotted">
        <color theme="0" tint="-0.14993743705557422"/>
      </bottom>
      <diagonal/>
    </border>
    <border>
      <left style="thick">
        <color theme="0"/>
      </left>
      <right style="thick">
        <color theme="0"/>
      </right>
      <top/>
      <bottom style="thick">
        <color theme="0"/>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diagonal/>
    </border>
    <border>
      <left style="thick">
        <color theme="0"/>
      </left>
      <right/>
      <top/>
      <bottom style="thick">
        <color theme="0"/>
      </bottom>
      <diagonal/>
    </border>
    <border>
      <left style="thick">
        <color theme="0"/>
      </left>
      <right/>
      <top style="thick">
        <color theme="0"/>
      </top>
      <bottom/>
      <diagonal/>
    </border>
    <border>
      <left/>
      <right/>
      <top/>
      <bottom style="thick">
        <color theme="0"/>
      </bottom>
      <diagonal/>
    </border>
    <border>
      <left/>
      <right style="thick">
        <color theme="0"/>
      </right>
      <top style="thick">
        <color theme="0"/>
      </top>
      <bottom/>
      <diagonal/>
    </border>
    <border>
      <left/>
      <right/>
      <top style="thick">
        <color theme="0"/>
      </top>
      <bottom/>
      <diagonal/>
    </border>
    <border>
      <left style="thin">
        <color auto="1"/>
      </left>
      <right style="thin">
        <color auto="1"/>
      </right>
      <top style="thin">
        <color auto="1"/>
      </top>
      <bottom style="thin">
        <color auto="1"/>
      </bottom>
      <diagonal/>
    </border>
    <border>
      <left/>
      <right style="thin">
        <color rgb="FF666699"/>
      </right>
      <top/>
      <bottom/>
      <diagonal/>
    </border>
    <border>
      <left style="thin">
        <color rgb="FF666699"/>
      </left>
      <right style="thin">
        <color rgb="FF666699"/>
      </right>
      <top/>
      <bottom style="thin">
        <color rgb="FF666699"/>
      </bottom>
      <diagonal/>
    </border>
    <border>
      <left/>
      <right style="thin">
        <color rgb="FF666699"/>
      </right>
      <top style="thin">
        <color rgb="FF666699"/>
      </top>
      <bottom style="thin">
        <color rgb="FF666699"/>
      </bottom>
      <diagonal/>
    </border>
    <border>
      <left/>
      <right style="thin">
        <color rgb="FF666699"/>
      </right>
      <top/>
      <bottom style="thin">
        <color rgb="FF666699"/>
      </bottom>
      <diagonal/>
    </border>
    <border>
      <left/>
      <right/>
      <top style="thin">
        <color rgb="FF666699"/>
      </top>
      <bottom/>
      <diagonal/>
    </border>
    <border>
      <left/>
      <right style="thin">
        <color rgb="FF666699"/>
      </right>
      <top style="thin">
        <color rgb="FF666699"/>
      </top>
      <bottom/>
      <diagonal/>
    </border>
    <border>
      <left/>
      <right/>
      <top/>
      <bottom style="thin">
        <color rgb="FF666699"/>
      </bottom>
      <diagonal/>
    </border>
    <border>
      <left/>
      <right/>
      <top style="thin">
        <color rgb="FF666699"/>
      </top>
      <bottom style="thin">
        <color rgb="FF666699"/>
      </bottom>
      <diagonal/>
    </border>
    <border>
      <left style="thin">
        <color rgb="FF666699"/>
      </left>
      <right style="thin">
        <color rgb="FF666699"/>
      </right>
      <top style="thin">
        <color rgb="FF666699"/>
      </top>
      <bottom style="thin">
        <color rgb="FF666699"/>
      </bottom>
      <diagonal/>
    </border>
    <border>
      <left style="thin">
        <color rgb="FF666699"/>
      </left>
      <right style="thin">
        <color rgb="FF666699"/>
      </right>
      <top style="thin">
        <color theme="0" tint="-0.34998626667073579"/>
      </top>
      <bottom style="thin">
        <color theme="0" tint="-0.34998626667073579"/>
      </bottom>
      <diagonal/>
    </border>
    <border>
      <left style="thin">
        <color rgb="FF666699"/>
      </left>
      <right style="thin">
        <color rgb="FF666699"/>
      </right>
      <top style="thin">
        <color theme="0" tint="-0.34998626667073579"/>
      </top>
      <bottom style="thin">
        <color rgb="FF666699"/>
      </bottom>
      <diagonal/>
    </border>
    <border>
      <left style="thin">
        <color rgb="FF666699"/>
      </left>
      <right style="thin">
        <color rgb="FF666699"/>
      </right>
      <top/>
      <bottom style="thin">
        <color theme="0" tint="-0.34998626667073579"/>
      </bottom>
      <diagonal/>
    </border>
    <border>
      <left style="thin">
        <color rgb="FF666699"/>
      </left>
      <right/>
      <top style="thin">
        <color rgb="FF666699"/>
      </top>
      <bottom/>
      <diagonal/>
    </border>
    <border>
      <left style="thin">
        <color rgb="FF666699"/>
      </left>
      <right/>
      <top/>
      <bottom/>
      <diagonal/>
    </border>
    <border>
      <left style="thin">
        <color rgb="FF666699"/>
      </left>
      <right/>
      <top/>
      <bottom style="thin">
        <color rgb="FF666699"/>
      </bottom>
      <diagonal/>
    </border>
    <border>
      <left style="thin">
        <color rgb="FF666699"/>
      </left>
      <right style="thin">
        <color rgb="FF666699"/>
      </right>
      <top style="thin">
        <color rgb="FF666699"/>
      </top>
      <bottom/>
      <diagonal/>
    </border>
    <border>
      <left style="thin">
        <color rgb="FF666699"/>
      </left>
      <right style="thin">
        <color rgb="FF666699"/>
      </right>
      <top/>
      <bottom/>
      <diagonal/>
    </border>
    <border>
      <left/>
      <right/>
      <top style="dotted">
        <color theme="0" tint="-0.24994659260841701"/>
      </top>
      <bottom style="dotted">
        <color theme="0" tint="-0.24994659260841701"/>
      </bottom>
      <diagonal/>
    </border>
    <border>
      <left/>
      <right/>
      <top/>
      <bottom style="dotted">
        <color theme="0" tint="-0.24994659260841701"/>
      </bottom>
      <diagonal/>
    </border>
    <border>
      <left/>
      <right/>
      <top style="dotted">
        <color theme="0" tint="-0.14993743705557422"/>
      </top>
      <bottom/>
      <diagonal/>
    </border>
    <border>
      <left/>
      <right/>
      <top style="thin">
        <color theme="0" tint="-0.24994659260841701"/>
      </top>
      <bottom style="dotted">
        <color theme="0" tint="-0.24994659260841701"/>
      </bottom>
      <diagonal/>
    </border>
    <border>
      <left/>
      <right/>
      <top style="dotted">
        <color theme="0" tint="-0.24994659260841701"/>
      </top>
      <bottom/>
      <diagonal/>
    </border>
    <border>
      <left/>
      <right/>
      <top style="dotted">
        <color theme="0" tint="-0.24994659260841701"/>
      </top>
      <bottom style="thin">
        <color theme="0" tint="-0.24994659260841701"/>
      </bottom>
      <diagonal/>
    </border>
    <border>
      <left/>
      <right/>
      <top style="thin">
        <color theme="0" tint="-0.24994659260841701"/>
      </top>
      <bottom style="dotted">
        <color theme="0" tint="-0.14993743705557422"/>
      </bottom>
      <diagonal/>
    </border>
    <border>
      <left/>
      <right/>
      <top/>
      <bottom style="dotted">
        <color theme="0" tint="-0.14993743705557422"/>
      </bottom>
      <diagonal/>
    </border>
    <border>
      <left/>
      <right/>
      <top style="dotted">
        <color theme="0" tint="-0.14993743705557422"/>
      </top>
      <bottom style="thin">
        <color theme="0" tint="-0.24994659260841701"/>
      </bottom>
      <diagonal/>
    </border>
    <border>
      <left/>
      <right style="thin">
        <color theme="0" tint="-0.24994659260841701"/>
      </right>
      <top style="thin">
        <color theme="0" tint="-0.24994659260841701"/>
      </top>
      <bottom style="dotted">
        <color theme="0" tint="-0.24994659260841701"/>
      </bottom>
      <diagonal/>
    </border>
    <border>
      <left/>
      <right style="thin">
        <color theme="0" tint="-0.24994659260841701"/>
      </right>
      <top style="dotted">
        <color theme="0" tint="-0.24994659260841701"/>
      </top>
      <bottom style="dotted">
        <color theme="0" tint="-0.24994659260841701"/>
      </bottom>
      <diagonal/>
    </border>
    <border>
      <left style="thin">
        <color theme="0" tint="-0.24994659260841701"/>
      </left>
      <right/>
      <top style="thin">
        <color theme="0" tint="-0.24994659260841701"/>
      </top>
      <bottom style="dotted">
        <color theme="0" tint="-0.24994659260841701"/>
      </bottom>
      <diagonal/>
    </border>
    <border>
      <left style="thin">
        <color theme="0" tint="-0.24994659260841701"/>
      </left>
      <right/>
      <top style="dotted">
        <color theme="0" tint="-0.24994659260841701"/>
      </top>
      <bottom style="dotted">
        <color theme="0" tint="-0.24994659260841701"/>
      </bottom>
      <diagonal/>
    </border>
    <border>
      <left style="thin">
        <color theme="0" tint="-0.24994659260841701"/>
      </left>
      <right/>
      <top style="dotted">
        <color theme="0" tint="-0.24994659260841701"/>
      </top>
      <bottom style="thin">
        <color theme="0" tint="-0.24994659260841701"/>
      </bottom>
      <diagonal/>
    </border>
    <border>
      <left/>
      <right style="thin">
        <color theme="0" tint="-0.24994659260841701"/>
      </right>
      <top style="dotted">
        <color theme="0" tint="-0.24994659260841701"/>
      </top>
      <bottom style="thin">
        <color theme="0" tint="-0.24994659260841701"/>
      </bottom>
      <diagonal/>
    </border>
    <border>
      <left/>
      <right style="thin">
        <color theme="0" tint="-0.24994659260841701"/>
      </right>
      <top/>
      <bottom style="dotted">
        <color theme="0" tint="-0.24994659260841701"/>
      </bottom>
      <diagonal/>
    </border>
    <border>
      <left style="thick">
        <color theme="0"/>
      </left>
      <right style="thick">
        <color theme="0"/>
      </right>
      <top style="dotted">
        <color theme="0" tint="-0.14996795556505021"/>
      </top>
      <bottom/>
      <diagonal/>
    </border>
    <border>
      <left/>
      <right style="thick">
        <color theme="0"/>
      </right>
      <top style="dotted">
        <color theme="0" tint="-0.14996795556505021"/>
      </top>
      <bottom/>
      <diagonal/>
    </border>
    <border>
      <left style="thin">
        <color auto="1"/>
      </left>
      <right style="thin">
        <color auto="1"/>
      </right>
      <top/>
      <bottom/>
      <diagonal/>
    </border>
    <border>
      <left style="thin">
        <color theme="0" tint="-0.24994659260841701"/>
      </left>
      <right/>
      <top/>
      <bottom style="dotted">
        <color theme="0" tint="-0.24994659260841701"/>
      </bottom>
      <diagonal/>
    </border>
    <border>
      <left/>
      <right style="thin">
        <color theme="0" tint="-0.34998626667073579"/>
      </right>
      <top style="thin">
        <color theme="0" tint="-0.34998626667073579"/>
      </top>
      <bottom style="thin">
        <color theme="0" tint="-0.24994659260841701"/>
      </bottom>
      <diagonal/>
    </border>
    <border>
      <left style="thin">
        <color rgb="FF589B58"/>
      </left>
      <right/>
      <top style="thin">
        <color rgb="FF589B58"/>
      </top>
      <bottom style="thin">
        <color theme="0" tint="-0.24994659260841701"/>
      </bottom>
      <diagonal/>
    </border>
    <border>
      <left/>
      <right/>
      <top style="thin">
        <color rgb="FF589B58"/>
      </top>
      <bottom style="thin">
        <color theme="0" tint="-0.24994659260841701"/>
      </bottom>
      <diagonal/>
    </border>
    <border>
      <left/>
      <right style="thin">
        <color rgb="FF589B58"/>
      </right>
      <top style="thin">
        <color rgb="FF589B58"/>
      </top>
      <bottom style="thin">
        <color theme="0" tint="-0.24994659260841701"/>
      </bottom>
      <diagonal/>
    </border>
    <border>
      <left style="thin">
        <color rgb="FF589B58"/>
      </left>
      <right/>
      <top style="thin">
        <color theme="0" tint="-0.24994659260841701"/>
      </top>
      <bottom style="dotted">
        <color theme="0" tint="-0.14993743705557422"/>
      </bottom>
      <diagonal/>
    </border>
    <border>
      <left/>
      <right style="thin">
        <color rgb="FF589B58"/>
      </right>
      <top style="thin">
        <color theme="0" tint="-0.24994659260841701"/>
      </top>
      <bottom style="dotted">
        <color theme="0" tint="-0.24994659260841701"/>
      </bottom>
      <diagonal/>
    </border>
    <border>
      <left style="thin">
        <color rgb="FF589B58"/>
      </left>
      <right/>
      <top style="dotted">
        <color theme="0" tint="-0.14993743705557422"/>
      </top>
      <bottom style="dotted">
        <color theme="0" tint="-0.14993743705557422"/>
      </bottom>
      <diagonal/>
    </border>
    <border>
      <left/>
      <right style="thin">
        <color rgb="FF589B58"/>
      </right>
      <top style="dotted">
        <color theme="0" tint="-0.24994659260841701"/>
      </top>
      <bottom style="dotted">
        <color theme="0" tint="-0.24994659260841701"/>
      </bottom>
      <diagonal/>
    </border>
    <border>
      <left style="thin">
        <color rgb="FF589B58"/>
      </left>
      <right/>
      <top style="dotted">
        <color theme="0" tint="-0.14993743705557422"/>
      </top>
      <bottom/>
      <diagonal/>
    </border>
    <border>
      <left/>
      <right style="thin">
        <color rgb="FF589B58"/>
      </right>
      <top style="dotted">
        <color theme="0" tint="-0.24994659260841701"/>
      </top>
      <bottom/>
      <diagonal/>
    </border>
    <border>
      <left style="thin">
        <color rgb="FF589B58"/>
      </left>
      <right/>
      <top style="thin">
        <color theme="0" tint="-0.24994659260841701"/>
      </top>
      <bottom style="thin">
        <color rgb="FF589B58"/>
      </bottom>
      <diagonal/>
    </border>
    <border>
      <left/>
      <right/>
      <top style="thin">
        <color theme="0" tint="-0.24994659260841701"/>
      </top>
      <bottom style="thin">
        <color rgb="FF589B58"/>
      </bottom>
      <diagonal/>
    </border>
    <border>
      <left/>
      <right style="thin">
        <color rgb="FF589B58"/>
      </right>
      <top style="thin">
        <color theme="0" tint="-0.24994659260841701"/>
      </top>
      <bottom style="thin">
        <color rgb="FF589B58"/>
      </bottom>
      <diagonal/>
    </border>
    <border>
      <left style="thin">
        <color theme="0" tint="-0.34998626667073579"/>
      </left>
      <right/>
      <top style="thin">
        <color theme="0" tint="-0.34998626667073579"/>
      </top>
      <bottom style="thin">
        <color theme="0" tint="-0.24994659260841701"/>
      </bottom>
      <diagonal/>
    </border>
    <border>
      <left/>
      <right/>
      <top style="thin">
        <color theme="0" tint="-0.34998626667073579"/>
      </top>
      <bottom style="thin">
        <color theme="0" tint="-0.24994659260841701"/>
      </bottom>
      <diagonal/>
    </border>
    <border>
      <left style="thin">
        <color theme="0" tint="-0.34998626667073579"/>
      </left>
      <right/>
      <top/>
      <bottom style="dotted">
        <color theme="0" tint="-0.14993743705557422"/>
      </bottom>
      <diagonal/>
    </border>
    <border>
      <left/>
      <right style="thin">
        <color theme="0" tint="-0.34998626667073579"/>
      </right>
      <top/>
      <bottom style="dotted">
        <color theme="0" tint="-0.24994659260841701"/>
      </bottom>
      <diagonal/>
    </border>
    <border>
      <left style="thin">
        <color theme="0" tint="-0.34998626667073579"/>
      </left>
      <right/>
      <top style="dotted">
        <color theme="0" tint="-0.14993743705557422"/>
      </top>
      <bottom style="dotted">
        <color theme="0" tint="-0.14993743705557422"/>
      </bottom>
      <diagonal/>
    </border>
    <border>
      <left/>
      <right style="thin">
        <color theme="0" tint="-0.34998626667073579"/>
      </right>
      <top style="dotted">
        <color theme="0" tint="-0.24994659260841701"/>
      </top>
      <bottom style="dotted">
        <color theme="0" tint="-0.24994659260841701"/>
      </bottom>
      <diagonal/>
    </border>
    <border>
      <left style="thin">
        <color theme="0" tint="-0.34998626667073579"/>
      </left>
      <right/>
      <top style="dotted">
        <color theme="0" tint="-0.14993743705557422"/>
      </top>
      <bottom style="thin">
        <color theme="0" tint="-0.24994659260841701"/>
      </bottom>
      <diagonal/>
    </border>
    <border>
      <left/>
      <right style="thin">
        <color theme="0" tint="-0.34998626667073579"/>
      </right>
      <top style="dotted">
        <color theme="0" tint="-0.24994659260841701"/>
      </top>
      <bottom style="thin">
        <color theme="0" tint="-0.24994659260841701"/>
      </bottom>
      <diagonal/>
    </border>
    <border>
      <left style="thin">
        <color theme="0" tint="-0.34998626667073579"/>
      </left>
      <right/>
      <top style="thin">
        <color theme="0" tint="-0.24994659260841701"/>
      </top>
      <bottom style="thin">
        <color theme="0" tint="-0.34998626667073579"/>
      </bottom>
      <diagonal/>
    </border>
    <border>
      <left/>
      <right/>
      <top style="thin">
        <color theme="0" tint="-0.24994659260841701"/>
      </top>
      <bottom style="thin">
        <color theme="0" tint="-0.34998626667073579"/>
      </bottom>
      <diagonal/>
    </border>
    <border>
      <left/>
      <right style="thin">
        <color theme="0" tint="-0.34998626667073579"/>
      </right>
      <top style="thin">
        <color theme="0" tint="-0.24994659260841701"/>
      </top>
      <bottom style="thin">
        <color theme="0" tint="-0.34998626667073579"/>
      </bottom>
      <diagonal/>
    </border>
    <border>
      <left/>
      <right style="thick">
        <color theme="0"/>
      </right>
      <top/>
      <bottom style="thin">
        <color theme="0" tint="-0.34998626667073579"/>
      </bottom>
      <diagonal/>
    </border>
    <border>
      <left style="thick">
        <color theme="0"/>
      </left>
      <right style="thick">
        <color theme="0"/>
      </right>
      <top/>
      <bottom style="thin">
        <color theme="0" tint="-0.34998626667073579"/>
      </bottom>
      <diagonal/>
    </border>
    <border>
      <left/>
      <right/>
      <top/>
      <bottom style="thin">
        <color rgb="FF589B58"/>
      </bottom>
      <diagonal/>
    </border>
    <border>
      <left style="thick">
        <color theme="0"/>
      </left>
      <right/>
      <top/>
      <bottom style="thin">
        <color theme="0" tint="-0.34998626667073579"/>
      </bottom>
      <diagonal/>
    </border>
    <border>
      <left style="medium">
        <color rgb="FF666699"/>
      </left>
      <right style="medium">
        <color rgb="FF666699"/>
      </right>
      <top style="medium">
        <color rgb="FF666699"/>
      </top>
      <bottom style="medium">
        <color rgb="FF666699"/>
      </bottom>
      <diagonal/>
    </border>
    <border>
      <left style="medium">
        <color rgb="FF666699"/>
      </left>
      <right style="medium">
        <color rgb="FF666699"/>
      </right>
      <top style="medium">
        <color rgb="FF666699"/>
      </top>
      <bottom/>
      <diagonal/>
    </border>
    <border>
      <left style="medium">
        <color rgb="FF666699"/>
      </left>
      <right/>
      <top/>
      <bottom/>
      <diagonal/>
    </border>
    <border>
      <left/>
      <right style="medium">
        <color rgb="FF666699"/>
      </right>
      <top/>
      <bottom/>
      <diagonal/>
    </border>
    <border>
      <left style="medium">
        <color rgb="FF666699"/>
      </left>
      <right style="medium">
        <color rgb="FF666699"/>
      </right>
      <top/>
      <bottom/>
      <diagonal/>
    </border>
    <border>
      <left style="medium">
        <color rgb="FF666699"/>
      </left>
      <right/>
      <top style="medium">
        <color rgb="FF666699"/>
      </top>
      <bottom style="medium">
        <color rgb="FF666699"/>
      </bottom>
      <diagonal/>
    </border>
    <border>
      <left/>
      <right style="medium">
        <color rgb="FF666699"/>
      </right>
      <top style="medium">
        <color rgb="FF666699"/>
      </top>
      <bottom style="medium">
        <color rgb="FF666699"/>
      </bottom>
      <diagonal/>
    </border>
    <border>
      <left/>
      <right style="medium">
        <color theme="0"/>
      </right>
      <top/>
      <bottom/>
      <diagonal/>
    </border>
    <border>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right/>
      <top style="dotted">
        <color rgb="FF666699"/>
      </top>
      <bottom/>
      <diagonal/>
    </border>
    <border>
      <left style="thin">
        <color rgb="FF666699"/>
      </left>
      <right style="thin">
        <color rgb="FF666699"/>
      </right>
      <top style="dotted">
        <color rgb="FF666699"/>
      </top>
      <bottom/>
      <diagonal/>
    </border>
    <border>
      <left/>
      <right style="thin">
        <color rgb="FF666699"/>
      </right>
      <top style="dotted">
        <color rgb="FF666699"/>
      </top>
      <bottom style="dotted">
        <color rgb="FF666699"/>
      </bottom>
      <diagonal/>
    </border>
    <border>
      <left style="thin">
        <color rgb="FF666699"/>
      </left>
      <right style="thin">
        <color rgb="FF666699"/>
      </right>
      <top style="dotted">
        <color rgb="FF666699"/>
      </top>
      <bottom style="dotted">
        <color rgb="FF66669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theme="0" tint="-4.9989318521683403E-2"/>
      </left>
      <right/>
      <top style="thin">
        <color theme="0" tint="-4.9989318521683403E-2"/>
      </top>
      <bottom/>
      <diagonal/>
    </border>
    <border>
      <left style="thin">
        <color theme="0" tint="-4.9989318521683403E-2"/>
      </left>
      <right/>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medium">
        <color rgb="FF666699"/>
      </bottom>
      <diagonal/>
    </border>
    <border>
      <left style="thin">
        <color theme="0" tint="-4.9989318521683403E-2"/>
      </left>
      <right/>
      <top/>
      <bottom style="medium">
        <color rgb="FF666699"/>
      </bottom>
      <diagonal/>
    </border>
    <border>
      <left/>
      <right style="thin">
        <color theme="0" tint="-4.9989318521683403E-2"/>
      </right>
      <top/>
      <bottom style="medium">
        <color rgb="FF666699"/>
      </bottom>
      <diagonal/>
    </border>
    <border>
      <left style="thin">
        <color theme="0" tint="-4.9989318521683403E-2"/>
      </left>
      <right/>
      <top/>
      <bottom style="medium">
        <color rgb="FF659B6F"/>
      </bottom>
      <diagonal/>
    </border>
    <border>
      <left/>
      <right style="thin">
        <color theme="0" tint="-4.9989318521683403E-2"/>
      </right>
      <top/>
      <bottom style="medium">
        <color rgb="FF659B6F"/>
      </bottom>
      <diagonal/>
    </border>
    <border>
      <left style="thin">
        <color theme="0" tint="-4.9989318521683403E-2"/>
      </left>
      <right style="thin">
        <color theme="0" tint="-4.9989318521683403E-2"/>
      </right>
      <top/>
      <bottom style="medium">
        <color rgb="FF659B6F"/>
      </bottom>
      <diagonal/>
    </border>
    <border>
      <left/>
      <right/>
      <top style="thin">
        <color theme="0" tint="-4.9989318521683403E-2"/>
      </top>
      <bottom/>
      <diagonal/>
    </border>
    <border>
      <left style="thin">
        <color theme="0" tint="-4.9989318521683403E-2"/>
      </left>
      <right style="thin">
        <color theme="0" tint="-4.9989318521683403E-2"/>
      </right>
      <top style="medium">
        <color rgb="FF666699"/>
      </top>
      <bottom/>
      <diagonal/>
    </border>
    <border>
      <left/>
      <right/>
      <top/>
      <bottom style="thin">
        <color theme="0" tint="-0.14996795556505021"/>
      </bottom>
      <diagonal/>
    </border>
    <border>
      <left/>
      <right/>
      <top style="thin">
        <color theme="0" tint="-0.14996795556505021"/>
      </top>
      <bottom/>
      <diagonal/>
    </border>
    <border>
      <left style="medium">
        <color rgb="FF666699"/>
      </left>
      <right/>
      <top style="medium">
        <color rgb="FF666699"/>
      </top>
      <bottom/>
      <diagonal/>
    </border>
    <border>
      <left/>
      <right style="medium">
        <color rgb="FF666699"/>
      </right>
      <top style="medium">
        <color rgb="FF666699"/>
      </top>
      <bottom/>
      <diagonal/>
    </border>
    <border>
      <left/>
      <right style="medium">
        <color rgb="FF666699"/>
      </right>
      <top/>
      <bottom style="medium">
        <color rgb="FF666699"/>
      </bottom>
      <diagonal/>
    </border>
    <border>
      <left/>
      <right/>
      <top/>
      <bottom style="medium">
        <color rgb="FF666699"/>
      </bottom>
      <diagonal/>
    </border>
    <border>
      <left/>
      <right/>
      <top style="medium">
        <color rgb="FF666699"/>
      </top>
      <bottom/>
      <diagonal/>
    </border>
    <border>
      <left style="medium">
        <color rgb="FF666699"/>
      </left>
      <right/>
      <top/>
      <bottom style="medium">
        <color rgb="FF666699"/>
      </bottom>
      <diagonal/>
    </border>
    <border>
      <left style="medium">
        <color rgb="FF666699"/>
      </left>
      <right style="medium">
        <color rgb="FF666699"/>
      </right>
      <top/>
      <bottom style="medium">
        <color rgb="FF666699"/>
      </bottom>
      <diagonal/>
    </border>
    <border>
      <left style="medium">
        <color rgb="FF666699"/>
      </left>
      <right style="thin">
        <color rgb="FF666699"/>
      </right>
      <top style="medium">
        <color rgb="FF666699"/>
      </top>
      <bottom style="thin">
        <color rgb="FF666699"/>
      </bottom>
      <diagonal/>
    </border>
    <border>
      <left style="thin">
        <color rgb="FF666699"/>
      </left>
      <right style="thin">
        <color rgb="FF666699"/>
      </right>
      <top style="medium">
        <color rgb="FF666699"/>
      </top>
      <bottom style="thin">
        <color rgb="FF666699"/>
      </bottom>
      <diagonal/>
    </border>
    <border>
      <left style="thin">
        <color rgb="FF666699"/>
      </left>
      <right style="medium">
        <color rgb="FF666699"/>
      </right>
      <top style="medium">
        <color rgb="FF666699"/>
      </top>
      <bottom style="thin">
        <color rgb="FF666699"/>
      </bottom>
      <diagonal/>
    </border>
    <border>
      <left style="medium">
        <color rgb="FF666699"/>
      </left>
      <right style="thin">
        <color rgb="FF666699"/>
      </right>
      <top style="thin">
        <color rgb="FF666699"/>
      </top>
      <bottom style="medium">
        <color rgb="FF666699"/>
      </bottom>
      <diagonal/>
    </border>
    <border>
      <left style="thin">
        <color rgb="FF666699"/>
      </left>
      <right style="thin">
        <color rgb="FF666699"/>
      </right>
      <top style="thin">
        <color rgb="FF666699"/>
      </top>
      <bottom style="medium">
        <color rgb="FF666699"/>
      </bottom>
      <diagonal/>
    </border>
    <border>
      <left style="thin">
        <color rgb="FF666699"/>
      </left>
      <right style="medium">
        <color rgb="FF666699"/>
      </right>
      <top style="thin">
        <color rgb="FF666699"/>
      </top>
      <bottom style="medium">
        <color rgb="FF666699"/>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right style="thin">
        <color theme="0" tint="-4.9989318521683403E-2"/>
      </right>
      <top/>
      <bottom style="thin">
        <color theme="0" tint="-4.9989318521683403E-2"/>
      </bottom>
      <diagonal/>
    </border>
    <border>
      <left/>
      <right style="medium">
        <color theme="0" tint="-0.24994659260841701"/>
      </right>
      <top style="medium">
        <color theme="0" tint="-0.24994659260841701"/>
      </top>
      <bottom/>
      <diagonal/>
    </border>
    <border>
      <left/>
      <right style="medium">
        <color theme="0" tint="-0.24994659260841701"/>
      </right>
      <top/>
      <bottom style="medium">
        <color theme="0" tint="-0.14996795556505021"/>
      </bottom>
      <diagonal/>
    </border>
    <border>
      <left/>
      <right style="medium">
        <color theme="0" tint="-0.24994659260841701"/>
      </right>
      <top/>
      <bottom/>
      <diagonal/>
    </border>
    <border>
      <left/>
      <right style="medium">
        <color theme="0" tint="-0.24994659260841701"/>
      </right>
      <top/>
      <bottom style="medium">
        <color theme="0" tint="-0.24994659260841701"/>
      </bottom>
      <diagonal/>
    </border>
    <border>
      <left/>
      <right style="thin">
        <color rgb="FF659B6F"/>
      </right>
      <top/>
      <bottom style="thin">
        <color rgb="FF659B6F"/>
      </bottom>
      <diagonal/>
    </border>
    <border>
      <left style="thin">
        <color rgb="FF659B6F"/>
      </left>
      <right/>
      <top/>
      <bottom style="thin">
        <color rgb="FF659B6F"/>
      </bottom>
      <diagonal/>
    </border>
    <border>
      <left/>
      <right style="thin">
        <color rgb="FF659B6F"/>
      </right>
      <top/>
      <bottom/>
      <diagonal/>
    </border>
    <border>
      <left style="thin">
        <color rgb="FF659B6F"/>
      </left>
      <right/>
      <top/>
      <bottom/>
      <diagonal/>
    </border>
    <border>
      <left/>
      <right style="thin">
        <color rgb="FF659B6F"/>
      </right>
      <top style="thin">
        <color rgb="FF659B6F"/>
      </top>
      <bottom/>
      <diagonal/>
    </border>
    <border>
      <left style="thin">
        <color rgb="FF659B6F"/>
      </left>
      <right/>
      <top style="thin">
        <color rgb="FF659B6F"/>
      </top>
      <bottom/>
      <diagonal/>
    </border>
    <border>
      <left style="thick">
        <color rgb="FF659B6F"/>
      </left>
      <right style="thick">
        <color rgb="FF659B6F"/>
      </right>
      <top style="thick">
        <color rgb="FF659B6F"/>
      </top>
      <bottom style="thick">
        <color rgb="FF659B6F"/>
      </bottom>
      <diagonal/>
    </border>
    <border>
      <left style="thin">
        <color theme="0" tint="-0.24994659260841701"/>
      </left>
      <right/>
      <top style="dotted">
        <color theme="0" tint="-0.24994659260841701"/>
      </top>
      <bottom/>
      <diagonal/>
    </border>
    <border>
      <left/>
      <right style="thin">
        <color theme="0" tint="-0.24994659260841701"/>
      </right>
      <top style="dotted">
        <color theme="0" tint="-0.24994659260841701"/>
      </top>
      <bottom/>
      <diagonal/>
    </border>
    <border>
      <left/>
      <right/>
      <top style="dotted">
        <color theme="0" tint="-0.14996795556505021"/>
      </top>
      <bottom/>
      <diagonal/>
    </border>
    <border>
      <left/>
      <right style="thick">
        <color theme="0"/>
      </right>
      <top style="dotted">
        <color theme="0" tint="-0.14990691854609822"/>
      </top>
      <bottom style="dotted">
        <color theme="0" tint="-0.14990691854609822"/>
      </bottom>
      <diagonal/>
    </border>
    <border>
      <left/>
      <right/>
      <top style="dotted">
        <color theme="0" tint="-0.14990691854609822"/>
      </top>
      <bottom style="dotted">
        <color theme="0" tint="-0.14990691854609822"/>
      </bottom>
      <diagonal/>
    </border>
    <border>
      <left style="thick">
        <color theme="0"/>
      </left>
      <right style="thick">
        <color theme="0"/>
      </right>
      <top style="dotted">
        <color theme="0" tint="-0.14990691854609822"/>
      </top>
      <bottom style="dotted">
        <color theme="0" tint="-0.1499069185460982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top/>
      <bottom/>
      <diagonal/>
    </border>
    <border>
      <left style="thin">
        <color theme="0" tint="-0.14993743705557422"/>
      </left>
      <right/>
      <top style="thin">
        <color theme="0" tint="-0.14993743705557422"/>
      </top>
      <bottom style="thin">
        <color theme="0" tint="-0.14990691854609822"/>
      </bottom>
      <diagonal/>
    </border>
    <border>
      <left/>
      <right style="thin">
        <color theme="0" tint="-0.14993743705557422"/>
      </right>
      <top style="thin">
        <color theme="0" tint="-0.14993743705557422"/>
      </top>
      <bottom style="thin">
        <color theme="0" tint="-0.14990691854609822"/>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ck">
        <color theme="0" tint="-0.14993743705557422"/>
      </top>
      <bottom/>
      <diagonal/>
    </border>
    <border>
      <left style="thin">
        <color theme="0" tint="-0.14996795556505021"/>
      </left>
      <right style="thin">
        <color theme="0" tint="-0.14996795556505021"/>
      </right>
      <top style="thick">
        <color theme="0" tint="-0.14993743705557422"/>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bottom/>
      <diagonal/>
    </border>
    <border>
      <left style="thick">
        <color theme="0" tint="-0.14993743705557422"/>
      </left>
      <right style="thin">
        <color theme="0" tint="-0.14996795556505021"/>
      </right>
      <top style="thick">
        <color theme="0" tint="-0.14993743705557422"/>
      </top>
      <bottom style="thin">
        <color theme="0" tint="-0.14996795556505021"/>
      </bottom>
      <diagonal/>
    </border>
    <border>
      <left style="thin">
        <color theme="0" tint="-0.14996795556505021"/>
      </left>
      <right style="thick">
        <color theme="0" tint="-0.14993743705557422"/>
      </right>
      <top style="thick">
        <color theme="0" tint="-0.14993743705557422"/>
      </top>
      <bottom style="thin">
        <color theme="0" tint="-0.14996795556505021"/>
      </bottom>
      <diagonal/>
    </border>
    <border>
      <left style="thick">
        <color theme="0" tint="-0.14993743705557422"/>
      </left>
      <right style="thin">
        <color theme="0" tint="-0.14996795556505021"/>
      </right>
      <top style="thin">
        <color theme="0" tint="-0.14996795556505021"/>
      </top>
      <bottom style="thick">
        <color theme="0" tint="-0.14993743705557422"/>
      </bottom>
      <diagonal/>
    </border>
    <border>
      <left style="thin">
        <color theme="0" tint="-0.14996795556505021"/>
      </left>
      <right style="thin">
        <color theme="0" tint="-0.14996795556505021"/>
      </right>
      <top style="thin">
        <color theme="0" tint="-0.14996795556505021"/>
      </top>
      <bottom style="thick">
        <color theme="0" tint="-0.14993743705557422"/>
      </bottom>
      <diagonal/>
    </border>
    <border>
      <left style="thin">
        <color theme="0" tint="-0.14996795556505021"/>
      </left>
      <right style="thick">
        <color theme="0" tint="-0.14993743705557422"/>
      </right>
      <top style="thin">
        <color theme="0" tint="-0.14996795556505021"/>
      </top>
      <bottom style="thick">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left>
      <right/>
      <top style="dotted">
        <color theme="0" tint="-0.14990691854609822"/>
      </top>
      <bottom style="dotted">
        <color theme="0" tint="-0.14990691854609822"/>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s>
  <cellStyleXfs count="3">
    <xf numFmtId="0" fontId="0" fillId="0" borderId="0"/>
    <xf numFmtId="9" fontId="29" fillId="0" borderId="0" applyFont="0" applyFill="0" applyBorder="0" applyAlignment="0" applyProtection="0"/>
    <xf numFmtId="0" fontId="65" fillId="0" borderId="0" applyNumberFormat="0" applyFill="0" applyBorder="0" applyAlignment="0" applyProtection="0"/>
  </cellStyleXfs>
  <cellXfs count="776">
    <xf numFmtId="0" fontId="0" fillId="0" borderId="0" xfId="0"/>
    <xf numFmtId="0" fontId="0" fillId="2" borderId="0" xfId="0" applyFill="1"/>
    <xf numFmtId="0" fontId="0" fillId="3" borderId="0" xfId="0" applyFill="1"/>
    <xf numFmtId="0" fontId="0" fillId="2" borderId="0" xfId="0" applyFill="1" applyAlignment="1">
      <alignment vertical="center"/>
    </xf>
    <xf numFmtId="0" fontId="0" fillId="2" borderId="0" xfId="0" applyFill="1" applyAlignment="1">
      <alignment horizontal="left" indent="1"/>
    </xf>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2" fillId="3" borderId="0" xfId="0" applyFont="1" applyFill="1" applyBorder="1" applyAlignment="1">
      <alignment horizontal="left" vertical="center" indent="1"/>
    </xf>
    <xf numFmtId="0" fontId="0" fillId="3" borderId="0"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2" fillId="3" borderId="10" xfId="0" applyFont="1" applyFill="1" applyBorder="1" applyAlignment="1">
      <alignment horizontal="left" indent="1"/>
    </xf>
    <xf numFmtId="0" fontId="3" fillId="2" borderId="0" xfId="0" applyFont="1" applyFill="1"/>
    <xf numFmtId="0" fontId="0" fillId="2" borderId="4" xfId="0" applyFill="1" applyBorder="1" applyAlignment="1"/>
    <xf numFmtId="0" fontId="2" fillId="3" borderId="0" xfId="0" applyFont="1" applyFill="1" applyBorder="1" applyAlignment="1">
      <alignment horizontal="left"/>
    </xf>
    <xf numFmtId="0" fontId="3" fillId="3" borderId="0" xfId="0" applyFont="1" applyFill="1" applyBorder="1" applyAlignment="1">
      <alignment horizontal="left"/>
    </xf>
    <xf numFmtId="0" fontId="3" fillId="3" borderId="9" xfId="0" applyFont="1" applyFill="1" applyBorder="1" applyAlignment="1">
      <alignment horizontal="left"/>
    </xf>
    <xf numFmtId="0" fontId="0" fillId="2" borderId="5" xfId="0" applyFill="1" applyBorder="1" applyAlignment="1"/>
    <xf numFmtId="0" fontId="0" fillId="2" borderId="0" xfId="0" applyFill="1" applyAlignment="1"/>
    <xf numFmtId="0" fontId="2" fillId="3" borderId="0" xfId="0" applyFont="1" applyFill="1" applyBorder="1" applyAlignment="1">
      <alignment horizontal="left" indent="1"/>
    </xf>
    <xf numFmtId="0" fontId="2" fillId="3" borderId="9" xfId="0" applyFont="1" applyFill="1" applyBorder="1" applyAlignment="1">
      <alignment horizontal="left" indent="1"/>
    </xf>
    <xf numFmtId="0" fontId="0" fillId="3" borderId="0" xfId="0" applyFill="1" applyBorder="1" applyAlignment="1">
      <alignment horizontal="left" indent="1"/>
    </xf>
    <xf numFmtId="0" fontId="2" fillId="3" borderId="9" xfId="0" applyFont="1" applyFill="1" applyBorder="1" applyAlignment="1">
      <alignment horizontal="center"/>
    </xf>
    <xf numFmtId="0" fontId="0" fillId="3" borderId="9" xfId="0" applyFill="1" applyBorder="1" applyAlignment="1">
      <alignment horizontal="left" indent="1"/>
    </xf>
    <xf numFmtId="0" fontId="2" fillId="3" borderId="11" xfId="0" applyFont="1" applyFill="1" applyBorder="1" applyAlignment="1">
      <alignment horizontal="left" indent="1"/>
    </xf>
    <xf numFmtId="0" fontId="0" fillId="3" borderId="11" xfId="0" applyFill="1" applyBorder="1" applyAlignment="1">
      <alignment horizontal="left" indent="1"/>
    </xf>
    <xf numFmtId="0" fontId="3" fillId="2" borderId="16" xfId="0" applyFont="1" applyFill="1" applyBorder="1"/>
    <xf numFmtId="4" fontId="3" fillId="2" borderId="12" xfId="0" applyNumberFormat="1" applyFont="1" applyFill="1" applyBorder="1" applyAlignment="1"/>
    <xf numFmtId="4" fontId="3" fillId="2" borderId="14" xfId="0" applyNumberFormat="1" applyFont="1" applyFill="1" applyBorder="1" applyAlignment="1"/>
    <xf numFmtId="4" fontId="3" fillId="2" borderId="13" xfId="0" applyNumberFormat="1" applyFont="1" applyFill="1" applyBorder="1" applyAlignment="1"/>
    <xf numFmtId="4" fontId="3" fillId="2" borderId="17" xfId="0" applyNumberFormat="1" applyFont="1" applyFill="1" applyBorder="1"/>
    <xf numFmtId="0" fontId="5" fillId="2" borderId="0" xfId="0" applyFont="1" applyFill="1" applyAlignment="1">
      <alignment horizontal="left" vertical="center"/>
    </xf>
    <xf numFmtId="4" fontId="3" fillId="2" borderId="18" xfId="0" applyNumberFormat="1" applyFont="1" applyFill="1" applyBorder="1"/>
    <xf numFmtId="4" fontId="3" fillId="2" borderId="11" xfId="0" applyNumberFormat="1" applyFont="1" applyFill="1" applyBorder="1"/>
    <xf numFmtId="49" fontId="9" fillId="2" borderId="0" xfId="0" applyNumberFormat="1" applyFont="1" applyFill="1"/>
    <xf numFmtId="49" fontId="10" fillId="2" borderId="0" xfId="0" applyNumberFormat="1" applyFont="1" applyFill="1" applyBorder="1" applyAlignment="1">
      <alignment horizontal="left" vertical="center" indent="1"/>
    </xf>
    <xf numFmtId="49" fontId="9" fillId="2" borderId="0" xfId="0" applyNumberFormat="1" applyFont="1" applyFill="1" applyBorder="1" applyAlignment="1">
      <alignment horizontal="left" indent="1"/>
    </xf>
    <xf numFmtId="49" fontId="10" fillId="2" borderId="0" xfId="0" applyNumberFormat="1" applyFont="1" applyFill="1" applyBorder="1" applyAlignment="1">
      <alignment horizontal="center" vertical="center"/>
    </xf>
    <xf numFmtId="0" fontId="8" fillId="2" borderId="0" xfId="0" applyFont="1" applyFill="1" applyBorder="1" applyAlignment="1">
      <alignment horizontal="center" vertical="center"/>
    </xf>
    <xf numFmtId="0" fontId="0" fillId="2" borderId="0" xfId="0" applyFill="1" applyBorder="1" applyAlignment="1"/>
    <xf numFmtId="0" fontId="0" fillId="2" borderId="0" xfId="0" applyFill="1" applyBorder="1" applyAlignment="1">
      <alignment vertical="center"/>
    </xf>
    <xf numFmtId="0" fontId="6" fillId="2" borderId="16" xfId="0" applyFont="1" applyFill="1" applyBorder="1" applyAlignment="1">
      <alignment horizontal="left"/>
    </xf>
    <xf numFmtId="0" fontId="0" fillId="2" borderId="21" xfId="0" applyFill="1" applyBorder="1"/>
    <xf numFmtId="0" fontId="0" fillId="2" borderId="22" xfId="0" applyFill="1" applyBorder="1"/>
    <xf numFmtId="0" fontId="16" fillId="2" borderId="0" xfId="0" applyFont="1" applyFill="1" applyBorder="1" applyAlignment="1">
      <alignment horizontal="right"/>
    </xf>
    <xf numFmtId="0" fontId="16" fillId="2" borderId="7" xfId="0" applyFont="1" applyFill="1" applyBorder="1" applyAlignment="1">
      <alignment horizontal="right"/>
    </xf>
    <xf numFmtId="0" fontId="16" fillId="2" borderId="0" xfId="0" applyFont="1" applyFill="1" applyAlignment="1">
      <alignment horizontal="right"/>
    </xf>
    <xf numFmtId="0" fontId="17" fillId="2" borderId="0" xfId="0" applyFont="1" applyFill="1" applyAlignment="1">
      <alignment horizontal="right"/>
    </xf>
    <xf numFmtId="0" fontId="24" fillId="2" borderId="0" xfId="0" applyFont="1" applyFill="1"/>
    <xf numFmtId="0" fontId="7" fillId="2" borderId="7" xfId="0" applyFont="1" applyFill="1" applyBorder="1" applyAlignment="1">
      <alignment vertical="top" wrapText="1"/>
    </xf>
    <xf numFmtId="4" fontId="3" fillId="2" borderId="0" xfId="0" applyNumberFormat="1" applyFont="1" applyFill="1" applyBorder="1"/>
    <xf numFmtId="0" fontId="2" fillId="3" borderId="11" xfId="0" applyFont="1" applyFill="1" applyBorder="1" applyAlignment="1">
      <alignment horizontal="center"/>
    </xf>
    <xf numFmtId="4" fontId="3" fillId="2" borderId="20" xfId="0" applyNumberFormat="1" applyFont="1" applyFill="1" applyBorder="1"/>
    <xf numFmtId="4" fontId="3" fillId="2" borderId="19" xfId="0" applyNumberFormat="1" applyFont="1" applyFill="1" applyBorder="1"/>
    <xf numFmtId="4" fontId="0" fillId="2" borderId="0" xfId="0" applyNumberFormat="1" applyFill="1"/>
    <xf numFmtId="4" fontId="3" fillId="2" borderId="0" xfId="0" applyNumberFormat="1" applyFont="1" applyFill="1" applyBorder="1" applyAlignment="1">
      <alignment horizontal="right" indent="2"/>
    </xf>
    <xf numFmtId="0" fontId="0" fillId="2" borderId="28" xfId="0" applyFill="1" applyBorder="1"/>
    <xf numFmtId="0" fontId="2" fillId="2" borderId="29" xfId="0" applyFont="1" applyFill="1" applyBorder="1" applyAlignment="1">
      <alignment horizontal="center"/>
    </xf>
    <xf numFmtId="4" fontId="4" fillId="2" borderId="29" xfId="0" applyNumberFormat="1" applyFont="1" applyFill="1" applyBorder="1" applyAlignment="1">
      <alignment horizontal="right" indent="2"/>
    </xf>
    <xf numFmtId="0" fontId="0" fillId="2" borderId="29" xfId="0" applyFill="1" applyBorder="1"/>
    <xf numFmtId="0" fontId="0" fillId="2" borderId="30" xfId="0" applyFill="1" applyBorder="1"/>
    <xf numFmtId="0" fontId="0" fillId="2" borderId="31" xfId="0" applyFill="1" applyBorder="1"/>
    <xf numFmtId="0" fontId="0" fillId="2" borderId="32" xfId="0" applyFill="1" applyBorder="1"/>
    <xf numFmtId="0" fontId="0" fillId="2" borderId="26" xfId="0" applyFill="1" applyBorder="1"/>
    <xf numFmtId="0" fontId="0" fillId="2" borderId="33" xfId="0" applyFill="1" applyBorder="1"/>
    <xf numFmtId="0" fontId="0" fillId="2" borderId="27" xfId="0" applyFill="1" applyBorder="1"/>
    <xf numFmtId="0" fontId="0" fillId="2" borderId="28" xfId="0" applyFill="1" applyBorder="1" applyAlignment="1"/>
    <xf numFmtId="4" fontId="16" fillId="2" borderId="0" xfId="0" applyNumberFormat="1" applyFont="1" applyFill="1" applyBorder="1" applyAlignment="1">
      <alignment horizontal="right"/>
    </xf>
    <xf numFmtId="0" fontId="0" fillId="2" borderId="4" xfId="0" applyFill="1" applyBorder="1" applyAlignment="1">
      <alignment vertical="center"/>
    </xf>
    <xf numFmtId="0" fontId="2" fillId="3" borderId="0" xfId="0" applyFont="1" applyFill="1" applyBorder="1" applyAlignment="1">
      <alignment horizontal="left" vertical="center"/>
    </xf>
    <xf numFmtId="0" fontId="3" fillId="3" borderId="0" xfId="0" applyFont="1" applyFill="1" applyBorder="1" applyAlignment="1">
      <alignment horizontal="left" vertical="center"/>
    </xf>
    <xf numFmtId="0" fontId="3" fillId="3" borderId="9" xfId="0" applyFont="1" applyFill="1" applyBorder="1" applyAlignment="1">
      <alignment horizontal="left" vertical="center"/>
    </xf>
    <xf numFmtId="0" fontId="1" fillId="3" borderId="10" xfId="0" applyFont="1" applyFill="1" applyBorder="1" applyAlignment="1">
      <alignment horizontal="center" vertical="center"/>
    </xf>
    <xf numFmtId="0" fontId="0" fillId="2" borderId="5" xfId="0" applyFill="1" applyBorder="1" applyAlignment="1">
      <alignment vertical="center"/>
    </xf>
    <xf numFmtId="0" fontId="0" fillId="2" borderId="28" xfId="0" applyFill="1" applyBorder="1" applyAlignment="1">
      <alignment vertical="center"/>
    </xf>
    <xf numFmtId="0" fontId="2" fillId="2" borderId="29" xfId="0" applyFont="1" applyFill="1" applyBorder="1" applyAlignment="1">
      <alignment horizontal="center" vertical="center"/>
    </xf>
    <xf numFmtId="4" fontId="3" fillId="2" borderId="11" xfId="0" applyNumberFormat="1" applyFont="1" applyFill="1" applyBorder="1" applyAlignment="1">
      <alignment horizontal="right" indent="1"/>
    </xf>
    <xf numFmtId="4" fontId="3" fillId="2" borderId="29" xfId="0" applyNumberFormat="1" applyFont="1" applyFill="1" applyBorder="1" applyAlignment="1">
      <alignment horizontal="right" indent="2"/>
    </xf>
    <xf numFmtId="4" fontId="16" fillId="2" borderId="10" xfId="0" applyNumberFormat="1" applyFont="1" applyFill="1" applyBorder="1" applyAlignment="1">
      <alignment horizontal="right"/>
    </xf>
    <xf numFmtId="0" fontId="16" fillId="2" borderId="0" xfId="0" applyFont="1" applyFill="1" applyBorder="1" applyAlignment="1">
      <alignment horizontal="right"/>
    </xf>
    <xf numFmtId="0" fontId="0" fillId="2" borderId="39" xfId="0" applyFill="1" applyBorder="1"/>
    <xf numFmtId="4" fontId="3" fillId="2" borderId="11" xfId="0" applyNumberFormat="1" applyFont="1" applyFill="1" applyBorder="1" applyAlignment="1">
      <alignment horizontal="right" vertical="center" indent="1"/>
    </xf>
    <xf numFmtId="0" fontId="2" fillId="3" borderId="40" xfId="0" applyFont="1" applyFill="1" applyBorder="1" applyAlignment="1">
      <alignment horizontal="right" indent="1"/>
    </xf>
    <xf numFmtId="0" fontId="2" fillId="3" borderId="41" xfId="0" applyFont="1" applyFill="1" applyBorder="1" applyAlignment="1">
      <alignment horizontal="right" indent="1"/>
    </xf>
    <xf numFmtId="0" fontId="2" fillId="3" borderId="41" xfId="0" applyFont="1" applyFill="1" applyBorder="1" applyAlignment="1">
      <alignment horizontal="right"/>
    </xf>
    <xf numFmtId="0" fontId="2" fillId="3" borderId="40" xfId="0" applyFont="1" applyFill="1" applyBorder="1" applyAlignment="1">
      <alignment horizontal="right"/>
    </xf>
    <xf numFmtId="0" fontId="6" fillId="2" borderId="0" xfId="0" applyFont="1" applyFill="1" applyBorder="1" applyAlignment="1">
      <alignment horizontal="left"/>
    </xf>
    <xf numFmtId="0" fontId="0" fillId="2" borderId="0" xfId="0" applyFill="1" applyBorder="1" applyAlignment="1">
      <alignment horizontal="center"/>
    </xf>
    <xf numFmtId="0" fontId="0" fillId="2" borderId="29" xfId="0" applyFill="1" applyBorder="1" applyAlignment="1">
      <alignment horizontal="center"/>
    </xf>
    <xf numFmtId="4" fontId="3" fillId="2" borderId="10" xfId="0" applyNumberFormat="1" applyFont="1" applyFill="1" applyBorder="1" applyAlignment="1">
      <alignment horizontal="right" indent="1"/>
    </xf>
    <xf numFmtId="4" fontId="3" fillId="2" borderId="0" xfId="0" applyNumberFormat="1" applyFont="1" applyFill="1" applyBorder="1" applyAlignment="1">
      <alignment horizontal="right" indent="1"/>
    </xf>
    <xf numFmtId="0" fontId="16" fillId="2" borderId="11" xfId="0" applyFont="1" applyFill="1" applyBorder="1" applyAlignment="1">
      <alignment horizontal="right" vertical="top"/>
    </xf>
    <xf numFmtId="0" fontId="30" fillId="8" borderId="0" xfId="0" applyFont="1" applyFill="1"/>
    <xf numFmtId="49" fontId="0" fillId="2" borderId="0" xfId="0" applyNumberFormat="1" applyFill="1"/>
    <xf numFmtId="49" fontId="41" fillId="10" borderId="40" xfId="0" applyNumberFormat="1" applyFont="1" applyFill="1" applyBorder="1"/>
    <xf numFmtId="49" fontId="41" fillId="10" borderId="43" xfId="0" applyNumberFormat="1" applyFont="1" applyFill="1" applyBorder="1"/>
    <xf numFmtId="49" fontId="41" fillId="11" borderId="40" xfId="0" applyNumberFormat="1" applyFont="1" applyFill="1" applyBorder="1"/>
    <xf numFmtId="49" fontId="41" fillId="11" borderId="43" xfId="0" applyNumberFormat="1" applyFont="1" applyFill="1" applyBorder="1"/>
    <xf numFmtId="49" fontId="41" fillId="10" borderId="45" xfId="0" applyNumberFormat="1" applyFont="1" applyFill="1" applyBorder="1"/>
    <xf numFmtId="49" fontId="41" fillId="10" borderId="40" xfId="0" applyNumberFormat="1" applyFont="1" applyFill="1" applyBorder="1" applyAlignment="1">
      <alignment vertical="center" wrapText="1"/>
    </xf>
    <xf numFmtId="0" fontId="24" fillId="10" borderId="47" xfId="0" applyFont="1" applyFill="1" applyBorder="1" applyAlignment="1">
      <alignment horizontal="right" vertical="center" wrapText="1" indent="1"/>
    </xf>
    <xf numFmtId="49" fontId="41" fillId="10" borderId="42" xfId="0" applyNumberFormat="1" applyFont="1" applyFill="1" applyBorder="1"/>
    <xf numFmtId="49" fontId="41" fillId="11" borderId="45" xfId="0" applyNumberFormat="1" applyFont="1" applyFill="1" applyBorder="1"/>
    <xf numFmtId="0" fontId="24" fillId="11" borderId="47" xfId="0" applyFont="1" applyFill="1" applyBorder="1" applyAlignment="1">
      <alignment horizontal="right" vertical="center" wrapText="1" indent="1"/>
    </xf>
    <xf numFmtId="49" fontId="41" fillId="11" borderId="42" xfId="0" applyNumberFormat="1" applyFont="1" applyFill="1" applyBorder="1"/>
    <xf numFmtId="0" fontId="36" fillId="2" borderId="0" xfId="0" applyFont="1" applyFill="1" applyAlignment="1">
      <alignment vertical="center"/>
    </xf>
    <xf numFmtId="0" fontId="42" fillId="2" borderId="48" xfId="0" applyFont="1" applyFill="1" applyBorder="1" applyAlignment="1">
      <alignment horizontal="center" vertical="center"/>
    </xf>
    <xf numFmtId="49" fontId="41" fillId="4" borderId="43" xfId="0" applyNumberFormat="1" applyFont="1" applyFill="1" applyBorder="1"/>
    <xf numFmtId="49" fontId="44" fillId="9" borderId="40" xfId="0" applyNumberFormat="1" applyFont="1" applyFill="1" applyBorder="1"/>
    <xf numFmtId="49" fontId="44" fillId="9" borderId="45" xfId="0" applyNumberFormat="1" applyFont="1" applyFill="1" applyBorder="1"/>
    <xf numFmtId="49" fontId="44" fillId="9" borderId="43" xfId="0" applyNumberFormat="1" applyFont="1" applyFill="1" applyBorder="1"/>
    <xf numFmtId="0" fontId="16" fillId="2" borderId="14" xfId="0" applyFont="1" applyFill="1" applyBorder="1" applyAlignment="1">
      <alignment horizontal="right"/>
    </xf>
    <xf numFmtId="0" fontId="48" fillId="2" borderId="0" xfId="0" applyFont="1" applyFill="1" applyAlignment="1">
      <alignment horizontal="left"/>
    </xf>
    <xf numFmtId="0" fontId="49" fillId="3" borderId="0" xfId="0" applyFont="1" applyFill="1" applyBorder="1" applyAlignment="1">
      <alignment horizontal="center" vertical="top"/>
    </xf>
    <xf numFmtId="0" fontId="49" fillId="3" borderId="0" xfId="0" quotePrefix="1" applyFont="1" applyFill="1" applyBorder="1" applyAlignment="1">
      <alignment horizontal="center" vertical="top"/>
    </xf>
    <xf numFmtId="0" fontId="16" fillId="2" borderId="0" xfId="0" applyFont="1" applyFill="1" applyBorder="1" applyAlignment="1"/>
    <xf numFmtId="0" fontId="17" fillId="2" borderId="0" xfId="0" applyFont="1" applyFill="1" applyBorder="1" applyAlignment="1"/>
    <xf numFmtId="0" fontId="17" fillId="2" borderId="7" xfId="0" applyFont="1" applyFill="1" applyBorder="1" applyAlignment="1"/>
    <xf numFmtId="4" fontId="3" fillId="2" borderId="0" xfId="0" applyNumberFormat="1" applyFont="1" applyFill="1" applyBorder="1" applyAlignment="1"/>
    <xf numFmtId="0" fontId="0" fillId="2" borderId="0" xfId="0" applyFill="1" applyBorder="1" applyAlignment="1">
      <alignment horizontal="right" indent="1"/>
    </xf>
    <xf numFmtId="0" fontId="3" fillId="2" borderId="0" xfId="0" applyFont="1" applyFill="1" applyBorder="1" applyAlignment="1">
      <alignment horizontal="right" indent="1"/>
    </xf>
    <xf numFmtId="4" fontId="3" fillId="2" borderId="73" xfId="0" applyNumberFormat="1" applyFont="1" applyFill="1" applyBorder="1"/>
    <xf numFmtId="4" fontId="3" fillId="2" borderId="74" xfId="0" applyNumberFormat="1" applyFont="1" applyFill="1" applyBorder="1"/>
    <xf numFmtId="0" fontId="0" fillId="2" borderId="75" xfId="0" applyFill="1" applyBorder="1"/>
    <xf numFmtId="0" fontId="32" fillId="2" borderId="63" xfId="0" applyFont="1" applyFill="1" applyBorder="1" applyAlignment="1">
      <alignment horizontal="right"/>
    </xf>
    <xf numFmtId="4" fontId="32" fillId="2" borderId="60" xfId="0" applyNumberFormat="1" applyFont="1" applyFill="1" applyBorder="1"/>
    <xf numFmtId="0" fontId="32" fillId="2" borderId="60" xfId="0" applyFont="1" applyFill="1" applyBorder="1"/>
    <xf numFmtId="0" fontId="33" fillId="2" borderId="68" xfId="0" applyFont="1" applyFill="1" applyBorder="1"/>
    <xf numFmtId="0" fontId="33" fillId="2" borderId="60" xfId="0" applyFont="1" applyFill="1" applyBorder="1"/>
    <xf numFmtId="0" fontId="33" fillId="2" borderId="66" xfId="0" applyFont="1" applyFill="1" applyBorder="1"/>
    <xf numFmtId="4" fontId="32" fillId="2" borderId="60" xfId="0" applyNumberFormat="1" applyFont="1" applyFill="1" applyBorder="1" applyAlignment="1">
      <alignment horizontal="right" indent="2"/>
    </xf>
    <xf numFmtId="0" fontId="32" fillId="2" borderId="60" xfId="0" applyFont="1" applyFill="1" applyBorder="1" applyAlignment="1">
      <alignment horizontal="left"/>
    </xf>
    <xf numFmtId="0" fontId="32" fillId="2" borderId="24" xfId="0" applyFont="1" applyFill="1" applyBorder="1" applyAlignment="1">
      <alignment horizontal="right"/>
    </xf>
    <xf numFmtId="4" fontId="32" fillId="2" borderId="57" xfId="0" applyNumberFormat="1" applyFont="1" applyFill="1" applyBorder="1"/>
    <xf numFmtId="0" fontId="32" fillId="2" borderId="57" xfId="0" applyFont="1" applyFill="1" applyBorder="1"/>
    <xf numFmtId="0" fontId="33" fillId="2" borderId="69" xfId="0" applyFont="1" applyFill="1" applyBorder="1"/>
    <xf numFmtId="0" fontId="33" fillId="2" borderId="57" xfId="0" applyFont="1" applyFill="1" applyBorder="1"/>
    <xf numFmtId="0" fontId="33" fillId="2" borderId="67" xfId="0" applyFont="1" applyFill="1" applyBorder="1"/>
    <xf numFmtId="4" fontId="32" fillId="2" borderId="57" xfId="0" applyNumberFormat="1" applyFont="1" applyFill="1" applyBorder="1" applyAlignment="1">
      <alignment horizontal="right" indent="2"/>
    </xf>
    <xf numFmtId="0" fontId="32" fillId="2" borderId="57" xfId="0" applyFont="1" applyFill="1" applyBorder="1" applyAlignment="1">
      <alignment horizontal="left"/>
    </xf>
    <xf numFmtId="0" fontId="32" fillId="2" borderId="59" xfId="0" applyFont="1" applyFill="1" applyBorder="1" applyAlignment="1">
      <alignment horizontal="right"/>
    </xf>
    <xf numFmtId="4" fontId="32" fillId="2" borderId="62" xfId="0" applyNumberFormat="1" applyFont="1" applyFill="1" applyBorder="1"/>
    <xf numFmtId="0" fontId="32" fillId="2" borderId="62" xfId="0" applyFont="1" applyFill="1" applyBorder="1"/>
    <xf numFmtId="0" fontId="33" fillId="2" borderId="70" xfId="0" applyFont="1" applyFill="1" applyBorder="1"/>
    <xf numFmtId="0" fontId="33" fillId="2" borderId="62" xfId="0" applyFont="1" applyFill="1" applyBorder="1"/>
    <xf numFmtId="0" fontId="33" fillId="2" borderId="71" xfId="0" applyFont="1" applyFill="1" applyBorder="1"/>
    <xf numFmtId="4" fontId="32" fillId="2" borderId="62" xfId="0" applyNumberFormat="1" applyFont="1" applyFill="1" applyBorder="1" applyAlignment="1">
      <alignment horizontal="right" indent="2"/>
    </xf>
    <xf numFmtId="0" fontId="32" fillId="2" borderId="61" xfId="0" applyFont="1" applyFill="1" applyBorder="1" applyAlignment="1">
      <alignment horizontal="left"/>
    </xf>
    <xf numFmtId="0" fontId="32" fillId="2" borderId="64" xfId="0" applyFont="1" applyFill="1" applyBorder="1" applyAlignment="1">
      <alignment horizontal="right"/>
    </xf>
    <xf numFmtId="0" fontId="32" fillId="2" borderId="65" xfId="0" applyFont="1" applyFill="1" applyBorder="1" applyAlignment="1">
      <alignment horizontal="right"/>
    </xf>
    <xf numFmtId="0" fontId="32" fillId="2" borderId="62" xfId="0" applyFont="1" applyFill="1" applyBorder="1" applyAlignment="1">
      <alignment horizontal="left"/>
    </xf>
    <xf numFmtId="4" fontId="32" fillId="2" borderId="58" xfId="0" applyNumberFormat="1" applyFont="1" applyFill="1" applyBorder="1"/>
    <xf numFmtId="0" fontId="32" fillId="2" borderId="58" xfId="0" applyFont="1" applyFill="1" applyBorder="1"/>
    <xf numFmtId="0" fontId="33" fillId="2" borderId="76" xfId="0" applyFont="1" applyFill="1" applyBorder="1"/>
    <xf numFmtId="0" fontId="33" fillId="2" borderId="58" xfId="0" applyFont="1" applyFill="1" applyBorder="1"/>
    <xf numFmtId="0" fontId="33" fillId="2" borderId="72" xfId="0" applyFont="1" applyFill="1" applyBorder="1"/>
    <xf numFmtId="4" fontId="32" fillId="2" borderId="58" xfId="0" applyNumberFormat="1" applyFont="1" applyFill="1" applyBorder="1" applyAlignment="1">
      <alignment horizontal="right" indent="2"/>
    </xf>
    <xf numFmtId="0" fontId="32" fillId="2" borderId="58" xfId="0" applyFont="1" applyFill="1" applyBorder="1" applyAlignment="1">
      <alignment horizontal="left"/>
    </xf>
    <xf numFmtId="0" fontId="59" fillId="2" borderId="48" xfId="0" applyFont="1" applyFill="1" applyBorder="1" applyAlignment="1">
      <alignment horizontal="center" vertical="center" wrapText="1"/>
    </xf>
    <xf numFmtId="49" fontId="39" fillId="11" borderId="40" xfId="0" applyNumberFormat="1" applyFont="1" applyFill="1" applyBorder="1" applyAlignment="1">
      <alignment horizontal="center"/>
    </xf>
    <xf numFmtId="49" fontId="39" fillId="10" borderId="45" xfId="0" applyNumberFormat="1" applyFont="1" applyFill="1" applyBorder="1" applyAlignment="1">
      <alignment horizontal="center"/>
    </xf>
    <xf numFmtId="49" fontId="39" fillId="11" borderId="45" xfId="0" applyNumberFormat="1" applyFont="1" applyFill="1" applyBorder="1" applyAlignment="1">
      <alignment horizontal="center"/>
    </xf>
    <xf numFmtId="49" fontId="39" fillId="4" borderId="55" xfId="0" applyNumberFormat="1" applyFont="1" applyFill="1" applyBorder="1" applyAlignment="1">
      <alignment horizontal="center"/>
    </xf>
    <xf numFmtId="49" fontId="39" fillId="4" borderId="41" xfId="0" applyNumberFormat="1" applyFont="1" applyFill="1" applyBorder="1" applyAlignment="1">
      <alignment horizontal="center"/>
    </xf>
    <xf numFmtId="49" fontId="37" fillId="11" borderId="40" xfId="0" applyNumberFormat="1" applyFont="1" applyFill="1" applyBorder="1" applyAlignment="1">
      <alignment horizontal="center"/>
    </xf>
    <xf numFmtId="49" fontId="37" fillId="11" borderId="43" xfId="0" applyNumberFormat="1" applyFont="1" applyFill="1" applyBorder="1" applyAlignment="1">
      <alignment horizontal="center"/>
    </xf>
    <xf numFmtId="49" fontId="37" fillId="10" borderId="40" xfId="0" applyNumberFormat="1" applyFont="1" applyFill="1" applyBorder="1" applyAlignment="1">
      <alignment horizontal="center"/>
    </xf>
    <xf numFmtId="49" fontId="37" fillId="10" borderId="43" xfId="0" applyNumberFormat="1" applyFont="1" applyFill="1" applyBorder="1" applyAlignment="1">
      <alignment horizontal="center"/>
    </xf>
    <xf numFmtId="49" fontId="37" fillId="11" borderId="45" xfId="0" applyNumberFormat="1" applyFont="1" applyFill="1" applyBorder="1" applyAlignment="1">
      <alignment horizontal="center"/>
    </xf>
    <xf numFmtId="49" fontId="37" fillId="11" borderId="42" xfId="0" applyNumberFormat="1" applyFont="1" applyFill="1" applyBorder="1" applyAlignment="1">
      <alignment horizontal="center"/>
    </xf>
    <xf numFmtId="49" fontId="37" fillId="10" borderId="45" xfId="0" applyNumberFormat="1" applyFont="1" applyFill="1" applyBorder="1" applyAlignment="1">
      <alignment horizontal="center" vertical="center"/>
    </xf>
    <xf numFmtId="49" fontId="37" fillId="10" borderId="40" xfId="0" applyNumberFormat="1" applyFont="1" applyFill="1" applyBorder="1" applyAlignment="1">
      <alignment horizontal="center" vertical="center"/>
    </xf>
    <xf numFmtId="49" fontId="37" fillId="10" borderId="43" xfId="0" applyNumberFormat="1" applyFont="1" applyFill="1" applyBorder="1" applyAlignment="1">
      <alignment horizontal="center" vertical="center"/>
    </xf>
    <xf numFmtId="49" fontId="37" fillId="10" borderId="42" xfId="0" applyNumberFormat="1" applyFont="1" applyFill="1" applyBorder="1" applyAlignment="1">
      <alignment horizontal="center"/>
    </xf>
    <xf numFmtId="49" fontId="44" fillId="12" borderId="45" xfId="0" applyNumberFormat="1" applyFont="1" applyFill="1" applyBorder="1"/>
    <xf numFmtId="49" fontId="44" fillId="12" borderId="40" xfId="0" applyNumberFormat="1" applyFont="1" applyFill="1" applyBorder="1"/>
    <xf numFmtId="49" fontId="44" fillId="12" borderId="43" xfId="0" applyNumberFormat="1" applyFont="1" applyFill="1" applyBorder="1"/>
    <xf numFmtId="49" fontId="47" fillId="9" borderId="45" xfId="0" applyNumberFormat="1" applyFont="1" applyFill="1" applyBorder="1" applyAlignment="1">
      <alignment horizontal="center"/>
    </xf>
    <xf numFmtId="49" fontId="47" fillId="9" borderId="40" xfId="0" applyNumberFormat="1" applyFont="1" applyFill="1" applyBorder="1" applyAlignment="1">
      <alignment horizontal="center"/>
    </xf>
    <xf numFmtId="49" fontId="47" fillId="12" borderId="45" xfId="0" applyNumberFormat="1" applyFont="1" applyFill="1" applyBorder="1" applyAlignment="1">
      <alignment horizontal="center"/>
    </xf>
    <xf numFmtId="49" fontId="47" fillId="12" borderId="40" xfId="0" applyNumberFormat="1" applyFont="1" applyFill="1" applyBorder="1" applyAlignment="1">
      <alignment horizontal="center"/>
    </xf>
    <xf numFmtId="49" fontId="47" fillId="12" borderId="43" xfId="0" applyNumberFormat="1" applyFont="1" applyFill="1" applyBorder="1" applyAlignment="1">
      <alignment horizontal="center"/>
    </xf>
    <xf numFmtId="49" fontId="47" fillId="9" borderId="43" xfId="0" applyNumberFormat="1" applyFont="1" applyFill="1" applyBorder="1" applyAlignment="1">
      <alignment horizontal="center"/>
    </xf>
    <xf numFmtId="0" fontId="34" fillId="5" borderId="78" xfId="0" applyFont="1" applyFill="1" applyBorder="1"/>
    <xf numFmtId="0" fontId="34" fillId="5" borderId="79" xfId="0" applyFont="1" applyFill="1" applyBorder="1"/>
    <xf numFmtId="0" fontId="62" fillId="5" borderId="79" xfId="0" applyFont="1" applyFill="1" applyBorder="1" applyAlignment="1">
      <alignment horizontal="right"/>
    </xf>
    <xf numFmtId="0" fontId="31" fillId="5" borderId="79" xfId="0" applyFont="1" applyFill="1" applyBorder="1"/>
    <xf numFmtId="10" fontId="62" fillId="5" borderId="79" xfId="1" applyNumberFormat="1" applyFont="1" applyFill="1" applyBorder="1"/>
    <xf numFmtId="0" fontId="62" fillId="5" borderId="79" xfId="0" applyFont="1" applyFill="1" applyBorder="1" applyAlignment="1">
      <alignment horizontal="left"/>
    </xf>
    <xf numFmtId="0" fontId="31" fillId="5" borderId="80" xfId="0" applyFont="1" applyFill="1" applyBorder="1"/>
    <xf numFmtId="0" fontId="0" fillId="2" borderId="81" xfId="0" applyFill="1" applyBorder="1"/>
    <xf numFmtId="0" fontId="0" fillId="2" borderId="82" xfId="0" applyFill="1" applyBorder="1"/>
    <xf numFmtId="0" fontId="0" fillId="2" borderId="83" xfId="0" applyFill="1" applyBorder="1"/>
    <xf numFmtId="0" fontId="0" fillId="2" borderId="84" xfId="0" applyFill="1" applyBorder="1"/>
    <xf numFmtId="0" fontId="0" fillId="2" borderId="85" xfId="0" applyFill="1" applyBorder="1"/>
    <xf numFmtId="0" fontId="0" fillId="2" borderId="86" xfId="0" applyFill="1" applyBorder="1"/>
    <xf numFmtId="0" fontId="34" fillId="5" borderId="87" xfId="0" applyFont="1" applyFill="1" applyBorder="1"/>
    <xf numFmtId="0" fontId="34" fillId="5" borderId="88" xfId="0" applyFont="1" applyFill="1" applyBorder="1"/>
    <xf numFmtId="4" fontId="62" fillId="5" borderId="88" xfId="0" applyNumberFormat="1" applyFont="1" applyFill="1" applyBorder="1"/>
    <xf numFmtId="0" fontId="31" fillId="5" borderId="88" xfId="0" applyFont="1" applyFill="1" applyBorder="1"/>
    <xf numFmtId="4" fontId="63" fillId="5" borderId="88" xfId="0" applyNumberFormat="1" applyFont="1" applyFill="1" applyBorder="1"/>
    <xf numFmtId="4" fontId="62" fillId="5" borderId="88" xfId="0" applyNumberFormat="1" applyFont="1" applyFill="1" applyBorder="1" applyAlignment="1">
      <alignment horizontal="left"/>
    </xf>
    <xf numFmtId="0" fontId="31" fillId="5" borderId="89" xfId="0" applyFont="1" applyFill="1" applyBorder="1"/>
    <xf numFmtId="0" fontId="34" fillId="6" borderId="90" xfId="0" applyFont="1" applyFill="1" applyBorder="1"/>
    <xf numFmtId="0" fontId="34" fillId="6" borderId="91" xfId="0" applyFont="1" applyFill="1" applyBorder="1"/>
    <xf numFmtId="0" fontId="62" fillId="6" borderId="91" xfId="0" applyFont="1" applyFill="1" applyBorder="1" applyAlignment="1">
      <alignment horizontal="right"/>
    </xf>
    <xf numFmtId="0" fontId="31" fillId="6" borderId="91" xfId="0" applyFont="1" applyFill="1" applyBorder="1"/>
    <xf numFmtId="10" fontId="62" fillId="6" borderId="91" xfId="1" applyNumberFormat="1" applyFont="1" applyFill="1" applyBorder="1"/>
    <xf numFmtId="0" fontId="62" fillId="6" borderId="91" xfId="0" applyFont="1" applyFill="1" applyBorder="1" applyAlignment="1">
      <alignment horizontal="left"/>
    </xf>
    <xf numFmtId="0" fontId="31" fillId="6" borderId="77" xfId="0" applyFont="1" applyFill="1" applyBorder="1"/>
    <xf numFmtId="0" fontId="0" fillId="2" borderId="92" xfId="0" applyFill="1" applyBorder="1"/>
    <xf numFmtId="0" fontId="0" fillId="2" borderId="93" xfId="0" applyFill="1" applyBorder="1"/>
    <xf numFmtId="0" fontId="0" fillId="2" borderId="94" xfId="0" applyFill="1" applyBorder="1"/>
    <xf numFmtId="0" fontId="0" fillId="2" borderId="95" xfId="0" applyFill="1" applyBorder="1"/>
    <xf numFmtId="0" fontId="0" fillId="2" borderId="96" xfId="0" applyFill="1" applyBorder="1"/>
    <xf numFmtId="0" fontId="0" fillId="2" borderId="97" xfId="0" applyFill="1" applyBorder="1"/>
    <xf numFmtId="0" fontId="34" fillId="6" borderId="98" xfId="0" applyFont="1" applyFill="1" applyBorder="1"/>
    <xf numFmtId="0" fontId="34" fillId="6" borderId="99" xfId="0" applyFont="1" applyFill="1" applyBorder="1"/>
    <xf numFmtId="4" fontId="62" fillId="6" borderId="99" xfId="0" applyNumberFormat="1" applyFont="1" applyFill="1" applyBorder="1"/>
    <xf numFmtId="0" fontId="31" fillId="6" borderId="99" xfId="0" applyFont="1" applyFill="1" applyBorder="1"/>
    <xf numFmtId="4" fontId="62" fillId="6" borderId="99" xfId="0" applyNumberFormat="1" applyFont="1" applyFill="1" applyBorder="1" applyAlignment="1">
      <alignment horizontal="left"/>
    </xf>
    <xf numFmtId="0" fontId="31" fillId="6" borderId="100" xfId="0" applyFont="1" applyFill="1" applyBorder="1"/>
    <xf numFmtId="4" fontId="63" fillId="6" borderId="99" xfId="0" applyNumberFormat="1" applyFont="1" applyFill="1" applyBorder="1"/>
    <xf numFmtId="0" fontId="34" fillId="3" borderId="52" xfId="0" applyFont="1" applyFill="1" applyBorder="1"/>
    <xf numFmtId="0" fontId="34" fillId="3" borderId="44" xfId="0" applyFont="1" applyFill="1" applyBorder="1"/>
    <xf numFmtId="0" fontId="62" fillId="3" borderId="44" xfId="0" applyFont="1" applyFill="1" applyBorder="1" applyAlignment="1">
      <alignment horizontal="right"/>
    </xf>
    <xf numFmtId="0" fontId="31" fillId="3" borderId="44" xfId="0" applyFont="1" applyFill="1" applyBorder="1"/>
    <xf numFmtId="10" fontId="62" fillId="3" borderId="44" xfId="1" applyNumberFormat="1" applyFont="1" applyFill="1" applyBorder="1"/>
    <xf numFmtId="0" fontId="62" fillId="3" borderId="44" xfId="0" applyFont="1" applyFill="1" applyBorder="1" applyAlignment="1">
      <alignment horizontal="left"/>
    </xf>
    <xf numFmtId="0" fontId="31" fillId="3" borderId="45" xfId="0" applyFont="1" applyFill="1" applyBorder="1"/>
    <xf numFmtId="0" fontId="34" fillId="3" borderId="54" xfId="0" applyFont="1" applyFill="1" applyBorder="1"/>
    <xf numFmtId="0" fontId="34" fillId="3" borderId="46" xfId="0" applyFont="1" applyFill="1" applyBorder="1"/>
    <xf numFmtId="4" fontId="62" fillId="3" borderId="46" xfId="0" applyNumberFormat="1" applyFont="1" applyFill="1" applyBorder="1"/>
    <xf numFmtId="0" fontId="31" fillId="3" borderId="46" xfId="0" applyFont="1" applyFill="1" applyBorder="1"/>
    <xf numFmtId="4" fontId="63" fillId="3" borderId="46" xfId="0" applyNumberFormat="1" applyFont="1" applyFill="1" applyBorder="1"/>
    <xf numFmtId="4" fontId="62" fillId="3" borderId="46" xfId="0" applyNumberFormat="1" applyFont="1" applyFill="1" applyBorder="1" applyAlignment="1">
      <alignment horizontal="left"/>
    </xf>
    <xf numFmtId="0" fontId="31" fillId="3" borderId="43" xfId="0" applyFont="1" applyFill="1" applyBorder="1"/>
    <xf numFmtId="4" fontId="28" fillId="2" borderId="0" xfId="0" applyNumberFormat="1" applyFont="1" applyFill="1" applyAlignment="1">
      <alignment horizontal="left"/>
    </xf>
    <xf numFmtId="0" fontId="50" fillId="2" borderId="0" xfId="0" applyFont="1" applyFill="1" applyAlignment="1"/>
    <xf numFmtId="0" fontId="50" fillId="2" borderId="0" xfId="0" applyFont="1" applyFill="1" applyAlignment="1">
      <alignment vertical="center"/>
    </xf>
    <xf numFmtId="0" fontId="8" fillId="2" borderId="7" xfId="0" applyFont="1" applyFill="1" applyBorder="1" applyAlignment="1">
      <alignment horizontal="center" vertical="center"/>
    </xf>
    <xf numFmtId="4" fontId="4" fillId="2" borderId="32" xfId="0" applyNumberFormat="1" applyFont="1" applyFill="1" applyBorder="1" applyAlignment="1">
      <alignment horizontal="right" indent="2"/>
    </xf>
    <xf numFmtId="4" fontId="16" fillId="2" borderId="31" xfId="0" applyNumberFormat="1" applyFont="1" applyFill="1" applyBorder="1" applyAlignment="1">
      <alignment horizontal="right"/>
    </xf>
    <xf numFmtId="0" fontId="16" fillId="2" borderId="0" xfId="0" applyFont="1" applyFill="1" applyBorder="1" applyAlignment="1">
      <alignment horizontal="right" vertical="center"/>
    </xf>
    <xf numFmtId="4" fontId="16" fillId="2" borderId="10" xfId="0" applyNumberFormat="1" applyFont="1" applyFill="1" applyBorder="1" applyAlignment="1">
      <alignment horizontal="right" vertical="center"/>
    </xf>
    <xf numFmtId="4" fontId="4" fillId="2" borderId="29" xfId="0" applyNumberFormat="1" applyFont="1" applyFill="1" applyBorder="1" applyAlignment="1">
      <alignment horizontal="right" vertical="center"/>
    </xf>
    <xf numFmtId="14" fontId="8" fillId="2" borderId="11" xfId="0" applyNumberFormat="1" applyFont="1" applyFill="1" applyBorder="1" applyAlignment="1">
      <alignment horizontal="center" vertical="center"/>
    </xf>
    <xf numFmtId="0" fontId="66" fillId="2" borderId="0" xfId="2" applyFont="1" applyFill="1" applyAlignment="1"/>
    <xf numFmtId="4" fontId="51" fillId="2" borderId="0" xfId="0" applyNumberFormat="1" applyFont="1" applyFill="1" applyBorder="1" applyAlignment="1">
      <alignment vertical="top" wrapText="1"/>
    </xf>
    <xf numFmtId="49" fontId="70" fillId="4" borderId="45" xfId="0" applyNumberFormat="1" applyFont="1" applyFill="1" applyBorder="1"/>
    <xf numFmtId="49" fontId="70" fillId="11" borderId="40" xfId="0" applyNumberFormat="1" applyFont="1" applyFill="1" applyBorder="1"/>
    <xf numFmtId="49" fontId="70" fillId="11" borderId="40" xfId="0" quotePrefix="1" applyNumberFormat="1" applyFont="1" applyFill="1" applyBorder="1"/>
    <xf numFmtId="49" fontId="70" fillId="10" borderId="45" xfId="0" applyNumberFormat="1" applyFont="1" applyFill="1" applyBorder="1"/>
    <xf numFmtId="49" fontId="70" fillId="11" borderId="45" xfId="0" applyNumberFormat="1" applyFont="1" applyFill="1" applyBorder="1"/>
    <xf numFmtId="49" fontId="74" fillId="12" borderId="40" xfId="0" applyNumberFormat="1" applyFont="1" applyFill="1" applyBorder="1"/>
    <xf numFmtId="0" fontId="77" fillId="2" borderId="0" xfId="0" applyFont="1" applyFill="1"/>
    <xf numFmtId="0" fontId="77" fillId="2" borderId="107" xfId="0" applyFont="1" applyFill="1" applyBorder="1" applyAlignment="1"/>
    <xf numFmtId="0" fontId="80" fillId="2" borderId="0" xfId="0" applyFont="1" applyFill="1" applyBorder="1" applyAlignment="1">
      <alignment horizontal="center" vertical="center"/>
    </xf>
    <xf numFmtId="0" fontId="80" fillId="2" borderId="0" xfId="0" applyFont="1" applyFill="1" applyBorder="1"/>
    <xf numFmtId="0" fontId="80" fillId="2" borderId="108" xfId="0" applyFont="1" applyFill="1" applyBorder="1" applyAlignment="1">
      <alignment horizontal="center" vertical="center"/>
    </xf>
    <xf numFmtId="0" fontId="80" fillId="2" borderId="108" xfId="0" applyFont="1" applyFill="1" applyBorder="1"/>
    <xf numFmtId="0" fontId="77" fillId="2" borderId="109" xfId="0" applyFont="1" applyFill="1" applyBorder="1" applyAlignment="1">
      <alignment horizontal="center" vertical="center"/>
    </xf>
    <xf numFmtId="0" fontId="77" fillId="2" borderId="109" xfId="0" applyFont="1" applyFill="1" applyBorder="1" applyAlignment="1">
      <alignment horizontal="center"/>
    </xf>
    <xf numFmtId="0" fontId="77" fillId="2" borderId="0" xfId="0" applyFont="1" applyFill="1" applyAlignment="1">
      <alignment vertical="center"/>
    </xf>
    <xf numFmtId="4" fontId="77" fillId="2" borderId="0" xfId="0" applyNumberFormat="1" applyFont="1" applyFill="1" applyBorder="1" applyAlignment="1">
      <alignment horizontal="right" vertical="center" indent="1"/>
    </xf>
    <xf numFmtId="4" fontId="77" fillId="2" borderId="107" xfId="0" applyNumberFormat="1" applyFont="1" applyFill="1" applyBorder="1" applyAlignment="1">
      <alignment horizontal="right" vertical="center" indent="1"/>
    </xf>
    <xf numFmtId="4" fontId="77" fillId="2" borderId="108" xfId="0" applyNumberFormat="1" applyFont="1" applyFill="1" applyBorder="1" applyAlignment="1">
      <alignment horizontal="right" vertical="center" indent="1"/>
    </xf>
    <xf numFmtId="0" fontId="77" fillId="2" borderId="0" xfId="0" applyFont="1" applyFill="1" applyBorder="1" applyAlignment="1">
      <alignment horizontal="right" indent="1"/>
    </xf>
    <xf numFmtId="0" fontId="77" fillId="13" borderId="106" xfId="0" applyFont="1" applyFill="1" applyBorder="1" applyAlignment="1">
      <alignment horizontal="center" vertical="center" wrapText="1"/>
    </xf>
    <xf numFmtId="4" fontId="77" fillId="2" borderId="0" xfId="0" applyNumberFormat="1" applyFont="1" applyFill="1"/>
    <xf numFmtId="0" fontId="84" fillId="2" borderId="0" xfId="0" applyFont="1" applyFill="1" applyAlignment="1">
      <alignment horizontal="center"/>
    </xf>
    <xf numFmtId="4" fontId="3" fillId="2" borderId="10" xfId="0" applyNumberFormat="1" applyFont="1" applyFill="1" applyBorder="1"/>
    <xf numFmtId="0" fontId="59" fillId="2" borderId="0" xfId="0" applyFont="1" applyFill="1" applyAlignment="1"/>
    <xf numFmtId="0" fontId="59" fillId="2" borderId="0" xfId="0" applyFont="1" applyFill="1"/>
    <xf numFmtId="0" fontId="68" fillId="2" borderId="0" xfId="0" applyFont="1" applyFill="1" applyAlignment="1">
      <alignment vertical="center" wrapText="1"/>
    </xf>
    <xf numFmtId="0" fontId="49" fillId="3" borderId="112" xfId="0" applyFont="1" applyFill="1" applyBorder="1" applyAlignment="1">
      <alignment horizontal="center" vertical="top"/>
    </xf>
    <xf numFmtId="1" fontId="0" fillId="2" borderId="0" xfId="0" applyNumberFormat="1" applyFill="1"/>
    <xf numFmtId="49" fontId="41" fillId="11" borderId="0" xfId="0" applyNumberFormat="1" applyFont="1" applyFill="1" applyBorder="1"/>
    <xf numFmtId="49" fontId="41" fillId="11" borderId="46" xfId="0" applyNumberFormat="1" applyFont="1" applyFill="1" applyBorder="1"/>
    <xf numFmtId="49" fontId="37" fillId="11" borderId="56" xfId="0" applyNumberFormat="1" applyFont="1" applyFill="1" applyBorder="1" applyAlignment="1">
      <alignment horizontal="center"/>
    </xf>
    <xf numFmtId="49" fontId="37" fillId="11" borderId="41" xfId="0" applyNumberFormat="1" applyFont="1" applyFill="1" applyBorder="1" applyAlignment="1">
      <alignment horizontal="center"/>
    </xf>
    <xf numFmtId="49" fontId="41" fillId="11" borderId="120" xfId="0" applyNumberFormat="1" applyFont="1" applyFill="1" applyBorder="1"/>
    <xf numFmtId="49" fontId="37" fillId="11" borderId="121" xfId="0" applyNumberFormat="1" applyFont="1" applyFill="1" applyBorder="1" applyAlignment="1">
      <alignment horizontal="center"/>
    </xf>
    <xf numFmtId="49" fontId="70" fillId="11" borderId="122" xfId="0" applyNumberFormat="1" applyFont="1" applyFill="1" applyBorder="1"/>
    <xf numFmtId="49" fontId="37" fillId="11" borderId="123" xfId="0" applyNumberFormat="1" applyFont="1" applyFill="1" applyBorder="1" applyAlignment="1">
      <alignment horizontal="center"/>
    </xf>
    <xf numFmtId="10" fontId="8" fillId="11" borderId="10" xfId="0" applyNumberFormat="1" applyFont="1" applyFill="1" applyBorder="1" applyAlignment="1" applyProtection="1">
      <alignment horizontal="center" vertical="center"/>
      <protection locked="0"/>
    </xf>
    <xf numFmtId="14" fontId="8" fillId="11" borderId="11" xfId="0" applyNumberFormat="1" applyFont="1" applyFill="1" applyBorder="1" applyAlignment="1" applyProtection="1">
      <alignment horizontal="center" vertical="center"/>
      <protection locked="0"/>
    </xf>
    <xf numFmtId="4" fontId="3" fillId="11" borderId="17" xfId="0" applyNumberFormat="1" applyFont="1" applyFill="1" applyBorder="1" applyProtection="1">
      <protection locked="0"/>
    </xf>
    <xf numFmtId="4" fontId="3" fillId="11" borderId="18" xfId="0" applyNumberFormat="1" applyFont="1" applyFill="1" applyBorder="1" applyProtection="1">
      <protection locked="0"/>
    </xf>
    <xf numFmtId="0" fontId="33" fillId="11" borderId="114" xfId="0" applyFont="1" applyFill="1" applyBorder="1" applyAlignment="1" applyProtection="1">
      <alignment horizontal="right" indent="1"/>
      <protection locked="0"/>
    </xf>
    <xf numFmtId="0" fontId="33" fillId="11" borderId="135" xfId="0" applyFont="1" applyFill="1" applyBorder="1" applyAlignment="1" applyProtection="1">
      <alignment horizontal="right" indent="1"/>
      <protection locked="0"/>
    </xf>
    <xf numFmtId="0" fontId="33" fillId="16" borderId="114" xfId="0" applyFont="1" applyFill="1" applyBorder="1" applyAlignment="1" applyProtection="1">
      <alignment horizontal="right" indent="1"/>
      <protection locked="0"/>
    </xf>
    <xf numFmtId="0" fontId="51" fillId="2" borderId="0" xfId="0" applyFont="1" applyFill="1" applyBorder="1" applyAlignment="1">
      <alignment horizontal="left" vertical="center" wrapText="1"/>
    </xf>
    <xf numFmtId="0" fontId="84" fillId="2" borderId="0" xfId="0" applyFont="1" applyFill="1" applyBorder="1" applyAlignment="1">
      <alignment horizontal="left" vertical="top" wrapText="1"/>
    </xf>
    <xf numFmtId="0" fontId="97" fillId="2" borderId="0" xfId="0" applyFont="1" applyFill="1" applyAlignment="1">
      <alignment vertical="center"/>
    </xf>
    <xf numFmtId="0" fontId="77" fillId="13" borderId="105" xfId="0" applyFont="1" applyFill="1" applyBorder="1" applyAlignment="1">
      <alignment horizontal="center" vertical="center" wrapText="1"/>
    </xf>
    <xf numFmtId="0" fontId="80" fillId="2" borderId="149" xfId="0" applyFont="1" applyFill="1" applyBorder="1" applyAlignment="1">
      <alignment horizontal="center" vertical="center"/>
    </xf>
    <xf numFmtId="0" fontId="80" fillId="2" borderId="146" xfId="0" applyFont="1" applyFill="1" applyBorder="1" applyAlignment="1">
      <alignment horizontal="center" vertical="center"/>
    </xf>
    <xf numFmtId="0" fontId="80" fillId="2" borderId="148" xfId="0" applyFont="1" applyFill="1" applyBorder="1" applyAlignment="1">
      <alignment horizontal="center" vertical="center"/>
    </xf>
    <xf numFmtId="0" fontId="80" fillId="2" borderId="147" xfId="0" applyFont="1" applyFill="1" applyBorder="1" applyAlignment="1">
      <alignment horizontal="center" vertical="center"/>
    </xf>
    <xf numFmtId="0" fontId="77" fillId="2" borderId="145" xfId="0" applyFont="1" applyFill="1" applyBorder="1" applyAlignment="1"/>
    <xf numFmtId="0" fontId="80" fillId="2" borderId="149" xfId="0" applyFont="1" applyFill="1" applyBorder="1"/>
    <xf numFmtId="0" fontId="80" fillId="2" borderId="146" xfId="0" applyFont="1" applyFill="1" applyBorder="1"/>
    <xf numFmtId="0" fontId="77" fillId="2" borderId="150" xfId="0" applyFont="1" applyFill="1" applyBorder="1" applyAlignment="1"/>
    <xf numFmtId="0" fontId="80" fillId="2" borderId="148" xfId="0" applyFont="1" applyFill="1" applyBorder="1"/>
    <xf numFmtId="0" fontId="80" fillId="2" borderId="147" xfId="0" applyFont="1" applyFill="1" applyBorder="1"/>
    <xf numFmtId="4" fontId="77" fillId="2" borderId="145" xfId="0" applyNumberFormat="1" applyFont="1" applyFill="1" applyBorder="1" applyAlignment="1">
      <alignment horizontal="right" vertical="center" indent="1"/>
    </xf>
    <xf numFmtId="4" fontId="77" fillId="2" borderId="149" xfId="0" applyNumberFormat="1" applyFont="1" applyFill="1" applyBorder="1" applyAlignment="1">
      <alignment horizontal="right" vertical="center" indent="1"/>
    </xf>
    <xf numFmtId="4" fontId="77" fillId="2" borderId="146" xfId="0" applyNumberFormat="1" applyFont="1" applyFill="1" applyBorder="1" applyAlignment="1">
      <alignment horizontal="right" vertical="center" indent="1"/>
    </xf>
    <xf numFmtId="4" fontId="77" fillId="2" borderId="150" xfId="0" applyNumberFormat="1" applyFont="1" applyFill="1" applyBorder="1" applyAlignment="1">
      <alignment horizontal="right" vertical="center" indent="1"/>
    </xf>
    <xf numFmtId="4" fontId="77" fillId="2" borderId="148" xfId="0" applyNumberFormat="1" applyFont="1" applyFill="1" applyBorder="1" applyAlignment="1">
      <alignment horizontal="right" vertical="center" indent="1"/>
    </xf>
    <xf numFmtId="4" fontId="77" fillId="2" borderId="147" xfId="0" applyNumberFormat="1" applyFont="1" applyFill="1" applyBorder="1" applyAlignment="1">
      <alignment horizontal="right" vertical="center" indent="1"/>
    </xf>
    <xf numFmtId="0" fontId="81" fillId="7" borderId="111" xfId="0" applyFont="1" applyFill="1" applyBorder="1" applyAlignment="1">
      <alignment horizontal="center" vertical="center"/>
    </xf>
    <xf numFmtId="0" fontId="107" fillId="13" borderId="106" xfId="0" applyFont="1" applyFill="1" applyBorder="1" applyAlignment="1">
      <alignment horizontal="center" vertical="center" wrapText="1"/>
    </xf>
    <xf numFmtId="9" fontId="77" fillId="2" borderId="149" xfId="0" applyNumberFormat="1" applyFont="1" applyFill="1" applyBorder="1" applyAlignment="1">
      <alignment horizontal="right" vertical="center" indent="1"/>
    </xf>
    <xf numFmtId="9" fontId="77" fillId="2" borderId="146" xfId="0" applyNumberFormat="1" applyFont="1" applyFill="1" applyBorder="1" applyAlignment="1">
      <alignment horizontal="right" vertical="center" indent="1"/>
    </xf>
    <xf numFmtId="9" fontId="77" fillId="2" borderId="0" xfId="0" applyNumberFormat="1" applyFont="1" applyFill="1" applyBorder="1" applyAlignment="1">
      <alignment horizontal="right" vertical="center" indent="1"/>
    </xf>
    <xf numFmtId="9" fontId="77" fillId="2" borderId="108" xfId="0" applyNumberFormat="1" applyFont="1" applyFill="1" applyBorder="1" applyAlignment="1">
      <alignment horizontal="right" vertical="center" indent="1"/>
    </xf>
    <xf numFmtId="9" fontId="77" fillId="2" borderId="148" xfId="0" applyNumberFormat="1" applyFont="1" applyFill="1" applyBorder="1" applyAlignment="1">
      <alignment horizontal="right" vertical="center" indent="1"/>
    </xf>
    <xf numFmtId="9" fontId="77" fillId="2" borderId="147" xfId="0" applyNumberFormat="1" applyFont="1" applyFill="1" applyBorder="1" applyAlignment="1">
      <alignment horizontal="right" vertical="center" indent="1"/>
    </xf>
    <xf numFmtId="0" fontId="77" fillId="2" borderId="106" xfId="0" applyFont="1" applyFill="1" applyBorder="1" applyAlignment="1">
      <alignment horizontal="center" vertical="center"/>
    </xf>
    <xf numFmtId="0" fontId="77" fillId="2" borderId="151" xfId="0" applyFont="1" applyFill="1" applyBorder="1" applyAlignment="1">
      <alignment horizontal="center" vertical="center"/>
    </xf>
    <xf numFmtId="0" fontId="77" fillId="2" borderId="106" xfId="0" applyFont="1" applyFill="1" applyBorder="1" applyAlignment="1">
      <alignment horizontal="center"/>
    </xf>
    <xf numFmtId="0" fontId="77" fillId="2" borderId="151" xfId="0" applyFont="1" applyFill="1" applyBorder="1" applyAlignment="1">
      <alignment horizontal="center"/>
    </xf>
    <xf numFmtId="0" fontId="105" fillId="13" borderId="110" xfId="0" applyFont="1" applyFill="1" applyBorder="1" applyAlignment="1">
      <alignment horizontal="center" vertical="center" wrapText="1"/>
    </xf>
    <xf numFmtId="3" fontId="104" fillId="13" borderId="154" xfId="0" applyNumberFormat="1" applyFont="1" applyFill="1" applyBorder="1" applyAlignment="1">
      <alignment horizontal="center" vertical="center"/>
    </xf>
    <xf numFmtId="3" fontId="104" fillId="7" borderId="157" xfId="0" applyNumberFormat="1" applyFont="1" applyFill="1" applyBorder="1" applyAlignment="1">
      <alignment horizontal="center" vertical="center"/>
    </xf>
    <xf numFmtId="49" fontId="9" fillId="2" borderId="75" xfId="0" applyNumberFormat="1" applyFont="1" applyFill="1" applyBorder="1"/>
    <xf numFmtId="49" fontId="10" fillId="2" borderId="75" xfId="0" applyNumberFormat="1" applyFont="1" applyFill="1" applyBorder="1" applyAlignment="1">
      <alignment horizontal="left" vertical="center" indent="1"/>
    </xf>
    <xf numFmtId="49" fontId="9" fillId="2" borderId="75" xfId="0" applyNumberFormat="1" applyFont="1" applyFill="1" applyBorder="1" applyAlignment="1">
      <alignment horizontal="left" indent="1"/>
    </xf>
    <xf numFmtId="49" fontId="9" fillId="2" borderId="22" xfId="0" applyNumberFormat="1" applyFont="1" applyFill="1" applyBorder="1"/>
    <xf numFmtId="49" fontId="9" fillId="2" borderId="22" xfId="0" applyNumberFormat="1" applyFont="1" applyFill="1" applyBorder="1" applyAlignment="1">
      <alignment horizontal="left" indent="1"/>
    </xf>
    <xf numFmtId="49" fontId="10" fillId="2" borderId="127" xfId="0" applyNumberFormat="1" applyFont="1" applyFill="1" applyBorder="1" applyAlignment="1">
      <alignment horizontal="left" vertical="center" indent="1"/>
    </xf>
    <xf numFmtId="49" fontId="9" fillId="2" borderId="127" xfId="0" applyNumberFormat="1" applyFont="1" applyFill="1" applyBorder="1" applyAlignment="1">
      <alignment horizontal="left" indent="1"/>
    </xf>
    <xf numFmtId="49" fontId="9" fillId="2" borderId="129" xfId="0" applyNumberFormat="1" applyFont="1" applyFill="1" applyBorder="1" applyAlignment="1">
      <alignment horizontal="left" indent="1"/>
    </xf>
    <xf numFmtId="49" fontId="9" fillId="2" borderId="21" xfId="0" applyNumberFormat="1" applyFont="1" applyFill="1" applyBorder="1"/>
    <xf numFmtId="49" fontId="10" fillId="2" borderId="124" xfId="0" applyNumberFormat="1" applyFont="1" applyFill="1" applyBorder="1" applyAlignment="1">
      <alignment horizontal="left" vertical="center" indent="1"/>
    </xf>
    <xf numFmtId="49" fontId="10" fillId="2" borderId="21" xfId="0" applyNumberFormat="1" applyFont="1" applyFill="1" applyBorder="1" applyAlignment="1">
      <alignment horizontal="left" vertical="center" indent="1"/>
    </xf>
    <xf numFmtId="49" fontId="10" fillId="2" borderId="129" xfId="0" applyNumberFormat="1" applyFont="1" applyFill="1" applyBorder="1" applyAlignment="1">
      <alignment horizontal="left" vertical="center" indent="1"/>
    </xf>
    <xf numFmtId="49" fontId="10" fillId="2" borderId="22" xfId="0" applyNumberFormat="1" applyFont="1" applyFill="1" applyBorder="1" applyAlignment="1">
      <alignment horizontal="left" vertical="center" indent="1"/>
    </xf>
    <xf numFmtId="49" fontId="11" fillId="8" borderId="21" xfId="0" applyNumberFormat="1" applyFont="1" applyFill="1" applyBorder="1"/>
    <xf numFmtId="49" fontId="11" fillId="8" borderId="124" xfId="0" applyNumberFormat="1" applyFont="1" applyFill="1" applyBorder="1"/>
    <xf numFmtId="0" fontId="0" fillId="2" borderId="127" xfId="0" applyFill="1" applyBorder="1"/>
    <xf numFmtId="10" fontId="33" fillId="11" borderId="117" xfId="0" applyNumberFormat="1" applyFont="1" applyFill="1" applyBorder="1" applyAlignment="1" applyProtection="1">
      <alignment horizontal="right" indent="1"/>
      <protection locked="0"/>
    </xf>
    <xf numFmtId="0" fontId="0" fillId="2" borderId="125" xfId="0" applyFill="1" applyBorder="1"/>
    <xf numFmtId="4" fontId="51" fillId="2" borderId="0" xfId="0" applyNumberFormat="1" applyFont="1" applyFill="1" applyBorder="1" applyAlignment="1">
      <alignment horizontal="center" vertical="center" wrapText="1"/>
    </xf>
    <xf numFmtId="0" fontId="113" fillId="2" borderId="0" xfId="0" applyFont="1" applyFill="1" applyBorder="1" applyAlignment="1">
      <alignment horizontal="left" vertical="center" wrapText="1"/>
    </xf>
    <xf numFmtId="4" fontId="51" fillId="2" borderId="0" xfId="0" applyNumberFormat="1" applyFont="1" applyFill="1" applyBorder="1" applyAlignment="1">
      <alignment horizontal="left" vertical="center" wrapText="1"/>
    </xf>
    <xf numFmtId="4" fontId="114" fillId="2" borderId="0" xfId="0" applyNumberFormat="1" applyFont="1" applyFill="1" applyBorder="1" applyAlignment="1">
      <alignment horizontal="right" indent="1"/>
    </xf>
    <xf numFmtId="4" fontId="0" fillId="2" borderId="0" xfId="0" applyNumberFormat="1" applyFill="1" applyBorder="1" applyAlignment="1">
      <alignment vertical="center"/>
    </xf>
    <xf numFmtId="0" fontId="31" fillId="2" borderId="0" xfId="0" applyFont="1" applyFill="1" applyBorder="1" applyAlignment="1">
      <alignment horizontal="left" vertical="center" wrapText="1"/>
    </xf>
    <xf numFmtId="14" fontId="35" fillId="11" borderId="158" xfId="0" applyNumberFormat="1" applyFont="1" applyFill="1" applyBorder="1" applyAlignment="1" applyProtection="1">
      <alignment horizontal="left" vertical="center" indent="1"/>
      <protection locked="0"/>
    </xf>
    <xf numFmtId="0" fontId="35" fillId="11" borderId="116" xfId="0" applyFont="1" applyFill="1" applyBorder="1" applyAlignment="1" applyProtection="1">
      <alignment horizontal="center" vertical="center"/>
      <protection locked="0"/>
    </xf>
    <xf numFmtId="4" fontId="35" fillId="11" borderId="116" xfId="0" applyNumberFormat="1" applyFont="1" applyFill="1" applyBorder="1" applyAlignment="1" applyProtection="1">
      <alignment horizontal="right" vertical="center" indent="1"/>
      <protection locked="0"/>
    </xf>
    <xf numFmtId="14" fontId="35" fillId="11" borderId="116" xfId="0" applyNumberFormat="1" applyFont="1" applyFill="1" applyBorder="1" applyAlignment="1" applyProtection="1">
      <alignment horizontal="right" vertical="center" indent="1"/>
      <protection locked="0"/>
    </xf>
    <xf numFmtId="1" fontId="0" fillId="2" borderId="39" xfId="0" applyNumberFormat="1" applyFill="1" applyBorder="1"/>
    <xf numFmtId="4" fontId="0" fillId="2" borderId="39" xfId="0" applyNumberFormat="1" applyFill="1" applyBorder="1"/>
    <xf numFmtId="0" fontId="2" fillId="3" borderId="0" xfId="0" applyFont="1" applyFill="1" applyBorder="1" applyAlignment="1">
      <alignment horizontal="left" vertical="center"/>
    </xf>
    <xf numFmtId="10" fontId="84" fillId="2" borderId="149" xfId="0" applyNumberFormat="1" applyFont="1" applyFill="1" applyBorder="1" applyAlignment="1">
      <alignment horizontal="center"/>
    </xf>
    <xf numFmtId="10" fontId="84" fillId="2" borderId="0" xfId="0" applyNumberFormat="1" applyFont="1" applyFill="1" applyBorder="1" applyAlignment="1">
      <alignment horizontal="center"/>
    </xf>
    <xf numFmtId="10" fontId="84" fillId="2" borderId="148" xfId="0" applyNumberFormat="1" applyFont="1" applyFill="1" applyBorder="1" applyAlignment="1">
      <alignment horizontal="center"/>
    </xf>
    <xf numFmtId="4" fontId="103" fillId="2" borderId="162" xfId="0" applyNumberFormat="1" applyFont="1" applyFill="1" applyBorder="1" applyAlignment="1">
      <alignment horizontal="right" indent="1"/>
    </xf>
    <xf numFmtId="0" fontId="103" fillId="2" borderId="161" xfId="0" applyFont="1" applyFill="1" applyBorder="1" applyAlignment="1">
      <alignment horizontal="right" indent="1"/>
    </xf>
    <xf numFmtId="0" fontId="103" fillId="2" borderId="162" xfId="0" applyFont="1" applyFill="1" applyBorder="1" applyAlignment="1">
      <alignment horizontal="right" indent="1"/>
    </xf>
    <xf numFmtId="0" fontId="103" fillId="2" borderId="163" xfId="0" applyFont="1" applyFill="1" applyBorder="1" applyAlignment="1">
      <alignment horizontal="right" indent="1"/>
    </xf>
    <xf numFmtId="0" fontId="0" fillId="2" borderId="0" xfId="0" applyFill="1" applyBorder="1" applyProtection="1"/>
    <xf numFmtId="0" fontId="0" fillId="2" borderId="0" xfId="0" applyFill="1" applyProtection="1"/>
    <xf numFmtId="1" fontId="0" fillId="2" borderId="0" xfId="0" applyNumberFormat="1" applyFill="1" applyProtection="1"/>
    <xf numFmtId="0" fontId="87" fillId="2" borderId="0" xfId="0" applyFont="1" applyFill="1" applyProtection="1"/>
    <xf numFmtId="0" fontId="95" fillId="8" borderId="0" xfId="0" applyFont="1" applyFill="1" applyBorder="1" applyAlignment="1" applyProtection="1">
      <alignment horizontal="right" indent="1"/>
    </xf>
    <xf numFmtId="0" fontId="96" fillId="8" borderId="0" xfId="0" applyFont="1" applyFill="1" applyBorder="1" applyAlignment="1" applyProtection="1">
      <alignment horizontal="center"/>
    </xf>
    <xf numFmtId="2" fontId="87" fillId="2" borderId="0" xfId="0" applyNumberFormat="1" applyFont="1" applyFill="1" applyProtection="1"/>
    <xf numFmtId="1" fontId="87" fillId="2" borderId="0" xfId="0" applyNumberFormat="1" applyFont="1" applyFill="1" applyProtection="1"/>
    <xf numFmtId="0" fontId="87" fillId="8" borderId="0" xfId="0" applyFont="1" applyFill="1" applyAlignment="1" applyProtection="1">
      <alignment horizontal="center"/>
    </xf>
    <xf numFmtId="0" fontId="95" fillId="8" borderId="124" xfId="0" applyFont="1" applyFill="1" applyBorder="1" applyAlignment="1" applyProtection="1">
      <alignment horizontal="right" indent="1"/>
    </xf>
    <xf numFmtId="0" fontId="95" fillId="8" borderId="125" xfId="0" applyFont="1" applyFill="1" applyBorder="1" applyAlignment="1" applyProtection="1">
      <alignment horizontal="right" indent="1"/>
    </xf>
    <xf numFmtId="14" fontId="96" fillId="8" borderId="125" xfId="0" applyNumberFormat="1" applyFont="1" applyFill="1" applyBorder="1" applyAlignment="1" applyProtection="1">
      <alignment horizontal="center"/>
    </xf>
    <xf numFmtId="14" fontId="96" fillId="8" borderId="126" xfId="0" applyNumberFormat="1" applyFont="1" applyFill="1" applyBorder="1" applyAlignment="1" applyProtection="1">
      <alignment horizontal="center"/>
    </xf>
    <xf numFmtId="0" fontId="95" fillId="8" borderId="127" xfId="0" applyFont="1" applyFill="1" applyBorder="1" applyAlignment="1" applyProtection="1">
      <alignment horizontal="right" indent="1"/>
    </xf>
    <xf numFmtId="14" fontId="96" fillId="8" borderId="0" xfId="0" applyNumberFormat="1" applyFont="1" applyFill="1" applyBorder="1" applyAlignment="1" applyProtection="1">
      <alignment horizontal="center"/>
    </xf>
    <xf numFmtId="14" fontId="96" fillId="8" borderId="128" xfId="0" applyNumberFormat="1" applyFont="1" applyFill="1" applyBorder="1" applyAlignment="1" applyProtection="1">
      <alignment horizontal="center"/>
    </xf>
    <xf numFmtId="0" fontId="95" fillId="8" borderId="129" xfId="0" applyFont="1" applyFill="1" applyBorder="1" applyAlignment="1" applyProtection="1">
      <alignment horizontal="right" indent="1"/>
    </xf>
    <xf numFmtId="0" fontId="95" fillId="8" borderId="130" xfId="0" applyFont="1" applyFill="1" applyBorder="1" applyAlignment="1" applyProtection="1">
      <alignment horizontal="right" indent="1"/>
    </xf>
    <xf numFmtId="1" fontId="87" fillId="8" borderId="130" xfId="0" applyNumberFormat="1" applyFont="1" applyFill="1" applyBorder="1" applyAlignment="1" applyProtection="1">
      <alignment horizontal="center"/>
    </xf>
    <xf numFmtId="1" fontId="87" fillId="8" borderId="131" xfId="0" applyNumberFormat="1" applyFont="1" applyFill="1" applyBorder="1" applyAlignment="1" applyProtection="1">
      <alignment horizontal="center"/>
    </xf>
    <xf numFmtId="0" fontId="96" fillId="8" borderId="0" xfId="0" applyFont="1" applyFill="1" applyAlignment="1" applyProtection="1">
      <alignment horizontal="center"/>
    </xf>
    <xf numFmtId="1" fontId="96" fillId="8" borderId="0" xfId="0" applyNumberFormat="1" applyFont="1" applyFill="1" applyAlignment="1" applyProtection="1">
      <alignment horizontal="center"/>
    </xf>
    <xf numFmtId="4" fontId="96" fillId="8" borderId="125" xfId="0" applyNumberFormat="1" applyFont="1" applyFill="1" applyBorder="1" applyAlignment="1" applyProtection="1">
      <alignment horizontal="center"/>
    </xf>
    <xf numFmtId="0" fontId="96" fillId="8" borderId="126" xfId="0" applyFont="1" applyFill="1" applyBorder="1" applyAlignment="1" applyProtection="1">
      <alignment horizontal="center"/>
    </xf>
    <xf numFmtId="4" fontId="96" fillId="8" borderId="0" xfId="0" applyNumberFormat="1" applyFont="1" applyFill="1" applyBorder="1" applyAlignment="1" applyProtection="1">
      <alignment horizontal="center"/>
    </xf>
    <xf numFmtId="0" fontId="96" fillId="8" borderId="128" xfId="0" applyFont="1" applyFill="1" applyBorder="1" applyAlignment="1" applyProtection="1">
      <alignment horizontal="center"/>
    </xf>
    <xf numFmtId="4" fontId="96" fillId="8" borderId="130" xfId="0" applyNumberFormat="1" applyFont="1" applyFill="1" applyBorder="1" applyAlignment="1" applyProtection="1">
      <alignment horizontal="center"/>
    </xf>
    <xf numFmtId="0" fontId="96" fillId="8" borderId="131" xfId="0" applyFont="1" applyFill="1" applyBorder="1" applyAlignment="1" applyProtection="1">
      <alignment horizontal="center"/>
    </xf>
    <xf numFmtId="4" fontId="96" fillId="8" borderId="0" xfId="0" applyNumberFormat="1" applyFont="1" applyFill="1" applyAlignment="1" applyProtection="1">
      <alignment horizontal="center"/>
    </xf>
    <xf numFmtId="0" fontId="94" fillId="2" borderId="0" xfId="0" applyFont="1" applyFill="1" applyAlignment="1" applyProtection="1">
      <alignment vertical="center"/>
    </xf>
    <xf numFmtId="0" fontId="92" fillId="2" borderId="0" xfId="0" applyFont="1" applyFill="1" applyBorder="1" applyAlignment="1" applyProtection="1">
      <alignment vertical="center"/>
    </xf>
    <xf numFmtId="0" fontId="91" fillId="2" borderId="0" xfId="0" applyFont="1" applyFill="1" applyBorder="1" applyAlignment="1" applyProtection="1">
      <alignment vertical="center"/>
    </xf>
    <xf numFmtId="0" fontId="58" fillId="2" borderId="0" xfId="0" applyFont="1" applyFill="1" applyBorder="1" applyAlignment="1" applyProtection="1">
      <alignment horizontal="right" indent="1"/>
    </xf>
    <xf numFmtId="0" fontId="91" fillId="2" borderId="0" xfId="0" applyFont="1" applyFill="1" applyAlignment="1" applyProtection="1">
      <alignment vertical="center"/>
    </xf>
    <xf numFmtId="0" fontId="0" fillId="2" borderId="0" xfId="0" applyFont="1" applyFill="1" applyBorder="1" applyAlignment="1" applyProtection="1">
      <alignment vertical="center"/>
    </xf>
    <xf numFmtId="14" fontId="35" fillId="2" borderId="0" xfId="0" applyNumberFormat="1" applyFont="1" applyFill="1" applyBorder="1" applyAlignment="1" applyProtection="1">
      <alignment horizontal="left" vertical="center"/>
    </xf>
    <xf numFmtId="0" fontId="33" fillId="2" borderId="0" xfId="0" applyFont="1" applyFill="1" applyBorder="1" applyAlignment="1" applyProtection="1">
      <alignment horizontal="right" vertical="center"/>
    </xf>
    <xf numFmtId="0" fontId="35" fillId="2" borderId="0" xfId="0" applyFont="1" applyFill="1" applyBorder="1" applyAlignment="1" applyProtection="1">
      <alignment horizontal="left" vertical="center"/>
    </xf>
    <xf numFmtId="14" fontId="33" fillId="2" borderId="0" xfId="0" applyNumberFormat="1" applyFont="1" applyFill="1" applyBorder="1" applyAlignment="1" applyProtection="1">
      <alignment horizontal="left" vertical="center"/>
    </xf>
    <xf numFmtId="17" fontId="33" fillId="2" borderId="0" xfId="0" quotePrefix="1" applyNumberFormat="1" applyFont="1" applyFill="1" applyBorder="1" applyAlignment="1" applyProtection="1">
      <alignment horizontal="right" vertical="center"/>
    </xf>
    <xf numFmtId="14" fontId="35" fillId="2" borderId="0" xfId="0" applyNumberFormat="1" applyFont="1" applyFill="1" applyBorder="1" applyAlignment="1" applyProtection="1">
      <alignment horizontal="left" vertical="center" indent="1"/>
    </xf>
    <xf numFmtId="0" fontId="94" fillId="2" borderId="0" xfId="0" applyFont="1" applyFill="1" applyBorder="1" applyAlignment="1" applyProtection="1">
      <alignment horizontal="left" vertical="center" indent="2"/>
    </xf>
    <xf numFmtId="0" fontId="3" fillId="2" borderId="0" xfId="0" applyFont="1" applyFill="1" applyProtection="1"/>
    <xf numFmtId="0" fontId="109" fillId="2" borderId="0" xfId="0" applyFont="1" applyFill="1" applyBorder="1" applyAlignment="1" applyProtection="1">
      <alignment horizontal="right" vertical="center" indent="1"/>
    </xf>
    <xf numFmtId="0" fontId="93" fillId="2" borderId="0" xfId="0" applyFont="1" applyFill="1" applyBorder="1" applyAlignment="1" applyProtection="1">
      <alignment vertical="center"/>
    </xf>
    <xf numFmtId="10" fontId="115" fillId="2" borderId="0" xfId="0" applyNumberFormat="1" applyFont="1" applyFill="1" applyProtection="1"/>
    <xf numFmtId="17" fontId="58" fillId="2" borderId="0" xfId="0" quotePrefix="1" applyNumberFormat="1" applyFont="1" applyFill="1" applyBorder="1" applyAlignment="1" applyProtection="1">
      <alignment horizontal="right" indent="1"/>
    </xf>
    <xf numFmtId="14" fontId="59" fillId="2" borderId="0" xfId="0" applyNumberFormat="1" applyFont="1" applyFill="1" applyBorder="1" applyAlignment="1" applyProtection="1">
      <alignment vertical="top"/>
    </xf>
    <xf numFmtId="9" fontId="58" fillId="2" borderId="0" xfId="0" applyNumberFormat="1" applyFont="1" applyFill="1" applyBorder="1" applyAlignment="1" applyProtection="1">
      <alignment horizontal="right" indent="1"/>
    </xf>
    <xf numFmtId="9" fontId="58" fillId="2" borderId="118" xfId="0" applyNumberFormat="1" applyFont="1" applyFill="1" applyBorder="1" applyAlignment="1" applyProtection="1">
      <alignment horizontal="right" indent="1"/>
    </xf>
    <xf numFmtId="0" fontId="88" fillId="2" borderId="0" xfId="0" applyFont="1" applyFill="1" applyAlignment="1" applyProtection="1">
      <alignment horizontal="right" vertical="top"/>
    </xf>
    <xf numFmtId="0" fontId="31" fillId="3" borderId="114" xfId="0" applyFont="1" applyFill="1" applyBorder="1" applyAlignment="1" applyProtection="1">
      <alignment horizontal="center"/>
    </xf>
    <xf numFmtId="0" fontId="31" fillId="3" borderId="114" xfId="0" applyFont="1" applyFill="1" applyBorder="1" applyAlignment="1" applyProtection="1">
      <alignment horizontal="center" vertical="center"/>
    </xf>
    <xf numFmtId="0" fontId="0" fillId="2" borderId="0" xfId="0" applyFill="1" applyAlignment="1" applyProtection="1">
      <alignment horizontal="left"/>
    </xf>
    <xf numFmtId="4" fontId="0" fillId="2" borderId="142" xfId="0" applyNumberFormat="1" applyFill="1" applyBorder="1" applyAlignment="1" applyProtection="1">
      <alignment horizontal="right" indent="1"/>
    </xf>
    <xf numFmtId="4" fontId="0" fillId="2" borderId="114" xfId="0" applyNumberFormat="1" applyFill="1" applyBorder="1" applyAlignment="1" applyProtection="1">
      <alignment horizontal="right" indent="1"/>
    </xf>
    <xf numFmtId="4" fontId="100" fillId="2" borderId="114" xfId="0" applyNumberFormat="1" applyFont="1" applyFill="1" applyBorder="1" applyAlignment="1" applyProtection="1">
      <alignment horizontal="right" indent="1"/>
    </xf>
    <xf numFmtId="4" fontId="0" fillId="2" borderId="113" xfId="0" applyNumberFormat="1" applyFill="1" applyBorder="1" applyAlignment="1" applyProtection="1">
      <alignment horizontal="right" indent="1"/>
    </xf>
    <xf numFmtId="0" fontId="0" fillId="2" borderId="0" xfId="0" applyFill="1" applyAlignment="1" applyProtection="1">
      <alignment horizontal="right" vertical="top"/>
    </xf>
    <xf numFmtId="4" fontId="1" fillId="3" borderId="119" xfId="0" applyNumberFormat="1" applyFont="1" applyFill="1" applyBorder="1" applyAlignment="1" applyProtection="1">
      <alignment horizontal="right" vertical="center" indent="1"/>
    </xf>
    <xf numFmtId="0" fontId="0" fillId="2" borderId="0" xfId="0" applyFill="1" applyAlignment="1" applyProtection="1">
      <alignment horizontal="right" vertical="center" indent="1"/>
    </xf>
    <xf numFmtId="4" fontId="31" fillId="3" borderId="116" xfId="0" applyNumberFormat="1" applyFont="1" applyFill="1" applyBorder="1" applyAlignment="1" applyProtection="1">
      <alignment horizontal="right" indent="1"/>
    </xf>
    <xf numFmtId="4" fontId="83" fillId="3" borderId="114" xfId="0" applyNumberFormat="1" applyFont="1" applyFill="1" applyBorder="1" applyAlignment="1" applyProtection="1">
      <alignment horizontal="right" indent="1"/>
    </xf>
    <xf numFmtId="4" fontId="83" fillId="3" borderId="119" xfId="0" applyNumberFormat="1" applyFont="1" applyFill="1" applyBorder="1" applyAlignment="1" applyProtection="1">
      <alignment horizontal="right" indent="1"/>
    </xf>
    <xf numFmtId="0" fontId="51" fillId="2" borderId="141" xfId="0" applyFont="1" applyFill="1" applyBorder="1" applyAlignment="1" applyProtection="1"/>
    <xf numFmtId="0" fontId="31" fillId="14" borderId="114" xfId="0" applyFont="1" applyFill="1" applyBorder="1" applyAlignment="1" applyProtection="1">
      <alignment horizontal="center"/>
    </xf>
    <xf numFmtId="0" fontId="31" fillId="14" borderId="114" xfId="0" applyFont="1" applyFill="1" applyBorder="1" applyAlignment="1" applyProtection="1">
      <alignment horizontal="center" vertical="center"/>
    </xf>
    <xf numFmtId="0" fontId="33" fillId="2" borderId="140" xfId="0" applyFont="1" applyFill="1" applyBorder="1" applyAlignment="1" applyProtection="1">
      <alignment horizontal="right" indent="1"/>
    </xf>
    <xf numFmtId="4" fontId="30" fillId="2" borderId="114" xfId="0" applyNumberFormat="1" applyFont="1" applyFill="1" applyBorder="1" applyAlignment="1" applyProtection="1">
      <alignment horizontal="right" indent="1"/>
    </xf>
    <xf numFmtId="4" fontId="1" fillId="14" borderId="119" xfId="0" applyNumberFormat="1" applyFont="1" applyFill="1" applyBorder="1" applyAlignment="1" applyProtection="1">
      <alignment horizontal="right" vertical="center" indent="1"/>
    </xf>
    <xf numFmtId="4" fontId="31" fillId="14" borderId="116" xfId="0" applyNumberFormat="1" applyFont="1" applyFill="1" applyBorder="1" applyAlignment="1" applyProtection="1">
      <alignment horizontal="right" indent="1"/>
    </xf>
    <xf numFmtId="4" fontId="83" fillId="14" borderId="114" xfId="0" applyNumberFormat="1" applyFont="1" applyFill="1" applyBorder="1" applyAlignment="1" applyProtection="1">
      <alignment horizontal="right" indent="1"/>
    </xf>
    <xf numFmtId="4" fontId="83" fillId="14" borderId="119" xfId="0" applyNumberFormat="1" applyFont="1" applyFill="1" applyBorder="1" applyAlignment="1" applyProtection="1">
      <alignment horizontal="right" indent="1"/>
    </xf>
    <xf numFmtId="0" fontId="31" fillId="15" borderId="117" xfId="0" applyFont="1" applyFill="1" applyBorder="1" applyAlignment="1" applyProtection="1">
      <alignment horizontal="center"/>
    </xf>
    <xf numFmtId="0" fontId="31" fillId="15" borderId="132" xfId="0" applyFont="1" applyFill="1" applyBorder="1" applyAlignment="1" applyProtection="1">
      <alignment horizontal="center"/>
    </xf>
    <xf numFmtId="0" fontId="31" fillId="15" borderId="133" xfId="0" applyFont="1" applyFill="1" applyBorder="1" applyAlignment="1" applyProtection="1">
      <alignment horizontal="right" indent="1"/>
    </xf>
    <xf numFmtId="4" fontId="1" fillId="15" borderId="119" xfId="0" applyNumberFormat="1" applyFont="1" applyFill="1" applyBorder="1" applyAlignment="1" applyProtection="1">
      <alignment horizontal="right" vertical="center" indent="1"/>
    </xf>
    <xf numFmtId="4" fontId="83" fillId="15" borderId="116" xfId="0" applyNumberFormat="1" applyFont="1" applyFill="1" applyBorder="1" applyAlignment="1" applyProtection="1">
      <alignment horizontal="right" indent="1"/>
    </xf>
    <xf numFmtId="4" fontId="83" fillId="15" borderId="114" xfId="0" applyNumberFormat="1" applyFont="1" applyFill="1" applyBorder="1" applyAlignment="1" applyProtection="1">
      <alignment horizontal="right" indent="1"/>
    </xf>
    <xf numFmtId="4" fontId="83" fillId="15" borderId="119" xfId="0" applyNumberFormat="1" applyFont="1" applyFill="1" applyBorder="1" applyAlignment="1" applyProtection="1">
      <alignment horizontal="right" indent="1"/>
    </xf>
    <xf numFmtId="0" fontId="2" fillId="2" borderId="0" xfId="0" applyFont="1" applyFill="1" applyBorder="1" applyAlignment="1" applyProtection="1">
      <alignment horizontal="right" indent="1"/>
    </xf>
    <xf numFmtId="4" fontId="2" fillId="2" borderId="0" xfId="0" applyNumberFormat="1" applyFont="1" applyFill="1" applyBorder="1" applyAlignment="1" applyProtection="1">
      <alignment horizontal="right" indent="1"/>
    </xf>
    <xf numFmtId="4" fontId="0" fillId="2" borderId="0" xfId="0" applyNumberFormat="1" applyFill="1" applyProtection="1"/>
    <xf numFmtId="0" fontId="4" fillId="11" borderId="116" xfId="0" applyFont="1" applyFill="1" applyBorder="1" applyAlignment="1" applyProtection="1">
      <alignment horizontal="right" vertical="center" indent="1"/>
      <protection locked="0"/>
    </xf>
    <xf numFmtId="4" fontId="0" fillId="11" borderId="116" xfId="0" applyNumberFormat="1" applyFill="1" applyBorder="1" applyAlignment="1" applyProtection="1">
      <alignment horizontal="right" indent="1"/>
      <protection locked="0"/>
    </xf>
    <xf numFmtId="10" fontId="4" fillId="11" borderId="116" xfId="0" applyNumberFormat="1" applyFont="1" applyFill="1" applyBorder="1" applyAlignment="1" applyProtection="1">
      <alignment horizontal="right" vertical="center" indent="1"/>
      <protection locked="0"/>
    </xf>
    <xf numFmtId="0" fontId="61" fillId="2" borderId="0" xfId="0" applyFont="1" applyFill="1" applyBorder="1" applyAlignment="1" applyProtection="1">
      <alignment horizontal="center" vertical="center" wrapText="1"/>
    </xf>
    <xf numFmtId="0" fontId="60" fillId="2" borderId="0" xfId="0" applyFont="1" applyFill="1" applyAlignment="1" applyProtection="1">
      <alignment vertical="center"/>
    </xf>
    <xf numFmtId="0" fontId="69" fillId="2" borderId="0" xfId="0" applyFont="1" applyFill="1" applyBorder="1" applyAlignment="1" applyProtection="1">
      <alignment horizontal="left" vertical="center"/>
    </xf>
    <xf numFmtId="0" fontId="3" fillId="2" borderId="0" xfId="0" applyFont="1" applyFill="1" applyAlignment="1" applyProtection="1"/>
    <xf numFmtId="0" fontId="90" fillId="2" borderId="0" xfId="0" applyFont="1" applyFill="1" applyAlignment="1" applyProtection="1">
      <alignment horizontal="left" vertical="top" indent="3"/>
    </xf>
    <xf numFmtId="0" fontId="69" fillId="2" borderId="0" xfId="0" applyFont="1" applyFill="1" applyBorder="1" applyAlignment="1" applyProtection="1">
      <alignment horizontal="left" vertical="center" indent="2"/>
    </xf>
    <xf numFmtId="0" fontId="92" fillId="2" borderId="0" xfId="0" applyFont="1" applyFill="1" applyProtection="1"/>
    <xf numFmtId="0" fontId="3" fillId="2" borderId="0" xfId="0" applyFont="1" applyFill="1" applyAlignment="1" applyProtection="1">
      <alignment vertical="top"/>
    </xf>
    <xf numFmtId="0" fontId="3" fillId="2" borderId="0" xfId="0" applyFont="1" applyFill="1" applyBorder="1" applyAlignment="1" applyProtection="1">
      <alignment vertical="top"/>
    </xf>
    <xf numFmtId="0" fontId="61" fillId="2" borderId="0" xfId="0" applyFont="1" applyFill="1" applyBorder="1" applyAlignment="1" applyProtection="1">
      <alignment horizontal="center" vertical="top" wrapText="1"/>
    </xf>
    <xf numFmtId="0" fontId="60" fillId="2" borderId="144" xfId="0" applyFont="1" applyFill="1" applyBorder="1" applyAlignment="1" applyProtection="1">
      <alignment vertical="top"/>
    </xf>
    <xf numFmtId="0" fontId="98" fillId="2" borderId="144" xfId="0" applyFont="1" applyFill="1" applyBorder="1" applyAlignment="1" applyProtection="1">
      <alignment horizontal="left" vertical="top"/>
    </xf>
    <xf numFmtId="0" fontId="3" fillId="2" borderId="144" xfId="0" applyFont="1" applyFill="1" applyBorder="1" applyAlignment="1" applyProtection="1">
      <alignment vertical="top"/>
    </xf>
    <xf numFmtId="0" fontId="99" fillId="2" borderId="0" xfId="0" applyFont="1" applyFill="1" applyAlignment="1" applyProtection="1">
      <alignment horizontal="right" vertical="center"/>
    </xf>
    <xf numFmtId="0" fontId="4" fillId="2" borderId="0" xfId="0" applyFont="1" applyFill="1" applyBorder="1" applyAlignment="1" applyProtection="1">
      <alignment horizontal="right" indent="1"/>
    </xf>
    <xf numFmtId="0" fontId="12" fillId="2" borderId="0" xfId="0" applyFont="1" applyFill="1" applyAlignment="1" applyProtection="1">
      <alignment wrapText="1"/>
    </xf>
    <xf numFmtId="0" fontId="60" fillId="2" borderId="143" xfId="0" applyFont="1" applyFill="1" applyBorder="1" applyAlignment="1" applyProtection="1">
      <alignment vertical="center"/>
    </xf>
    <xf numFmtId="0" fontId="69" fillId="2" borderId="143" xfId="0" applyFont="1" applyFill="1" applyBorder="1" applyAlignment="1" applyProtection="1">
      <alignment horizontal="left" vertical="center"/>
    </xf>
    <xf numFmtId="0" fontId="3" fillId="2" borderId="143" xfId="0" applyFont="1" applyFill="1" applyBorder="1" applyProtection="1"/>
    <xf numFmtId="0" fontId="3" fillId="2" borderId="0" xfId="0" applyFont="1" applyFill="1" applyBorder="1" applyProtection="1"/>
    <xf numFmtId="0" fontId="85" fillId="2" borderId="0" xfId="0" applyFont="1" applyFill="1" applyBorder="1" applyAlignment="1" applyProtection="1">
      <alignment horizontal="right" vertical="top" indent="1"/>
    </xf>
    <xf numFmtId="0" fontId="12" fillId="2" borderId="0" xfId="0" applyFont="1" applyFill="1" applyBorder="1" applyAlignment="1" applyProtection="1">
      <alignment horizontal="right" indent="1"/>
    </xf>
    <xf numFmtId="0" fontId="12" fillId="8" borderId="0" xfId="0" applyFont="1" applyFill="1" applyBorder="1" applyProtection="1"/>
    <xf numFmtId="1" fontId="12" fillId="8" borderId="0" xfId="0" applyNumberFormat="1" applyFont="1" applyFill="1" applyBorder="1" applyProtection="1"/>
    <xf numFmtId="0" fontId="16" fillId="2" borderId="0" xfId="0" applyFont="1" applyFill="1" applyAlignment="1" applyProtection="1">
      <alignment horizontal="right" vertical="center"/>
    </xf>
    <xf numFmtId="0" fontId="12" fillId="2" borderId="0" xfId="0" applyFont="1" applyFill="1" applyBorder="1" applyAlignment="1" applyProtection="1">
      <alignment horizontal="right" vertical="center" indent="1"/>
    </xf>
    <xf numFmtId="0" fontId="3" fillId="2" borderId="0" xfId="0" applyFont="1" applyFill="1" applyAlignment="1" applyProtection="1">
      <alignment vertical="center"/>
    </xf>
    <xf numFmtId="1" fontId="3" fillId="2" borderId="0" xfId="0" applyNumberFormat="1" applyFont="1" applyFill="1" applyAlignment="1" applyProtection="1">
      <alignment vertical="center"/>
    </xf>
    <xf numFmtId="1" fontId="102" fillId="2" borderId="0" xfId="0" applyNumberFormat="1" applyFont="1" applyFill="1" applyBorder="1" applyAlignment="1" applyProtection="1">
      <alignment vertical="center"/>
    </xf>
    <xf numFmtId="9" fontId="3" fillId="2" borderId="0" xfId="0" applyNumberFormat="1" applyFont="1" applyFill="1" applyProtection="1"/>
    <xf numFmtId="9" fontId="102" fillId="2" borderId="0" xfId="0" applyNumberFormat="1" applyFont="1" applyFill="1" applyBorder="1" applyProtection="1"/>
    <xf numFmtId="0" fontId="55" fillId="2" borderId="0" xfId="0" applyFont="1" applyFill="1" applyProtection="1"/>
    <xf numFmtId="0" fontId="56" fillId="2" borderId="0" xfId="0" applyFont="1" applyFill="1" applyBorder="1" applyProtection="1"/>
    <xf numFmtId="0" fontId="16" fillId="2" borderId="0" xfId="0" applyFont="1" applyFill="1" applyAlignment="1" applyProtection="1">
      <alignment horizontal="right" vertical="top"/>
    </xf>
    <xf numFmtId="0" fontId="4" fillId="2" borderId="0" xfId="0" applyFont="1" applyFill="1" applyBorder="1" applyAlignment="1" applyProtection="1">
      <alignment horizontal="right" vertical="center" indent="1"/>
    </xf>
    <xf numFmtId="0" fontId="3" fillId="2" borderId="0" xfId="0" applyFont="1" applyFill="1" applyAlignment="1" applyProtection="1">
      <alignment horizontal="right" vertical="center"/>
    </xf>
    <xf numFmtId="0" fontId="67" fillId="8" borderId="0" xfId="0" applyFont="1" applyFill="1" applyBorder="1" applyAlignment="1" applyProtection="1">
      <alignment horizontal="right" vertical="center" indent="1"/>
    </xf>
    <xf numFmtId="0" fontId="67" fillId="8" borderId="0" xfId="0" applyFont="1" applyFill="1" applyBorder="1" applyAlignment="1" applyProtection="1">
      <alignment horizontal="right" indent="1"/>
    </xf>
    <xf numFmtId="4" fontId="58" fillId="8" borderId="0" xfId="0" applyNumberFormat="1" applyFont="1" applyFill="1" applyBorder="1" applyProtection="1"/>
    <xf numFmtId="10" fontId="12" fillId="2" borderId="0" xfId="1" applyNumberFormat="1" applyFont="1" applyFill="1" applyBorder="1" applyAlignment="1" applyProtection="1">
      <alignment vertical="center"/>
    </xf>
    <xf numFmtId="4" fontId="4" fillId="2" borderId="0" xfId="0" applyNumberFormat="1" applyFont="1" applyFill="1" applyBorder="1" applyProtection="1"/>
    <xf numFmtId="4" fontId="58" fillId="2" borderId="0" xfId="0" applyNumberFormat="1" applyFont="1" applyFill="1" applyBorder="1" applyProtection="1"/>
    <xf numFmtId="0" fontId="110" fillId="2" borderId="0" xfId="0" applyFont="1" applyFill="1" applyAlignment="1" applyProtection="1">
      <alignment horizontal="right" vertical="top"/>
    </xf>
    <xf numFmtId="0" fontId="112" fillId="2" borderId="0" xfId="0" applyFont="1" applyFill="1" applyBorder="1" applyAlignment="1" applyProtection="1">
      <alignment horizontal="right" indent="1"/>
    </xf>
    <xf numFmtId="4" fontId="108" fillId="2" borderId="0" xfId="0" applyNumberFormat="1" applyFont="1" applyFill="1" applyBorder="1" applyProtection="1"/>
    <xf numFmtId="4" fontId="57" fillId="2" borderId="0" xfId="0" applyNumberFormat="1" applyFont="1" applyFill="1" applyBorder="1" applyProtection="1"/>
    <xf numFmtId="0" fontId="3" fillId="2" borderId="0" xfId="0" applyFont="1" applyFill="1" applyBorder="1" applyAlignment="1" applyProtection="1"/>
    <xf numFmtId="4" fontId="3" fillId="2" borderId="0" xfId="0" applyNumberFormat="1" applyFont="1" applyFill="1" applyBorder="1" applyAlignment="1" applyProtection="1"/>
    <xf numFmtId="4" fontId="3" fillId="2" borderId="0" xfId="0" applyNumberFormat="1" applyFont="1" applyFill="1" applyProtection="1"/>
    <xf numFmtId="4" fontId="6" fillId="11" borderId="116" xfId="0" applyNumberFormat="1" applyFont="1" applyFill="1" applyBorder="1" applyAlignment="1" applyProtection="1">
      <alignment horizontal="right" indent="1"/>
      <protection locked="0"/>
    </xf>
    <xf numFmtId="10" fontId="4" fillId="11" borderId="116" xfId="0" applyNumberFormat="1" applyFont="1" applyFill="1" applyBorder="1" applyAlignment="1" applyProtection="1">
      <alignment horizontal="right" indent="1"/>
      <protection locked="0"/>
    </xf>
    <xf numFmtId="0" fontId="4" fillId="11" borderId="116" xfId="0" applyFont="1" applyFill="1" applyBorder="1" applyAlignment="1" applyProtection="1">
      <alignment horizontal="right" indent="1"/>
      <protection locked="0"/>
    </xf>
    <xf numFmtId="10" fontId="58" fillId="11" borderId="0" xfId="0" applyNumberFormat="1" applyFont="1" applyFill="1" applyBorder="1" applyAlignment="1" applyProtection="1">
      <alignment vertical="center"/>
      <protection locked="0"/>
    </xf>
    <xf numFmtId="0" fontId="4" fillId="11" borderId="0" xfId="0" applyFont="1" applyFill="1" applyBorder="1" applyAlignment="1" applyProtection="1">
      <alignment horizontal="right" vertical="center"/>
      <protection locked="0"/>
    </xf>
    <xf numFmtId="4" fontId="58" fillId="8" borderId="0" xfId="0" applyNumberFormat="1" applyFont="1" applyFill="1" applyBorder="1" applyAlignment="1" applyProtection="1">
      <alignment horizontal="right" vertical="center"/>
      <protection locked="0"/>
    </xf>
    <xf numFmtId="0" fontId="109" fillId="2" borderId="0" xfId="0" applyFont="1" applyFill="1" applyAlignment="1">
      <alignment horizontal="right"/>
    </xf>
    <xf numFmtId="0" fontId="117" fillId="2" borderId="0" xfId="0" applyFont="1" applyFill="1"/>
    <xf numFmtId="0" fontId="118" fillId="2" borderId="164" xfId="0" applyFont="1" applyFill="1" applyBorder="1" applyAlignment="1">
      <alignment horizontal="right" indent="1"/>
    </xf>
    <xf numFmtId="0" fontId="108" fillId="2" borderId="166" xfId="0" applyFont="1" applyFill="1" applyBorder="1" applyAlignment="1">
      <alignment horizontal="right" indent="1"/>
    </xf>
    <xf numFmtId="0" fontId="31" fillId="15" borderId="116" xfId="0" applyFont="1" applyFill="1" applyBorder="1" applyAlignment="1" applyProtection="1">
      <alignment horizontal="right"/>
    </xf>
    <xf numFmtId="0" fontId="31" fillId="15" borderId="117" xfId="0" applyFont="1" applyFill="1" applyBorder="1" applyAlignment="1" applyProtection="1">
      <alignment horizontal="right"/>
    </xf>
    <xf numFmtId="0" fontId="31" fillId="15" borderId="119" xfId="0" applyFont="1" applyFill="1" applyBorder="1" applyAlignment="1" applyProtection="1">
      <alignment horizontal="right"/>
    </xf>
    <xf numFmtId="0" fontId="31" fillId="14" borderId="116" xfId="0" applyFont="1" applyFill="1" applyBorder="1" applyAlignment="1" applyProtection="1">
      <alignment horizontal="right"/>
    </xf>
    <xf numFmtId="0" fontId="31" fillId="14" borderId="117" xfId="0" applyFont="1" applyFill="1" applyBorder="1" applyAlignment="1" applyProtection="1">
      <alignment horizontal="right"/>
    </xf>
    <xf numFmtId="4" fontId="31" fillId="14" borderId="0" xfId="0" applyNumberFormat="1" applyFont="1" applyFill="1" applyAlignment="1" applyProtection="1">
      <alignment horizontal="right" indent="1"/>
    </xf>
    <xf numFmtId="0" fontId="31" fillId="14" borderId="119" xfId="0" applyFont="1" applyFill="1" applyBorder="1" applyAlignment="1" applyProtection="1">
      <alignment horizontal="right"/>
    </xf>
    <xf numFmtId="4" fontId="31" fillId="14" borderId="119" xfId="0" applyNumberFormat="1" applyFont="1" applyFill="1" applyBorder="1" applyAlignment="1" applyProtection="1">
      <alignment horizontal="right" indent="1"/>
    </xf>
    <xf numFmtId="4" fontId="31" fillId="15" borderId="116" xfId="0" applyNumberFormat="1" applyFont="1" applyFill="1" applyBorder="1" applyAlignment="1" applyProtection="1">
      <alignment horizontal="right" indent="1"/>
    </xf>
    <xf numFmtId="4" fontId="31" fillId="15" borderId="0" xfId="0" applyNumberFormat="1" applyFont="1" applyFill="1" applyAlignment="1" applyProtection="1">
      <alignment horizontal="right" indent="1"/>
    </xf>
    <xf numFmtId="4" fontId="31" fillId="15" borderId="119" xfId="0" applyNumberFormat="1" applyFont="1" applyFill="1" applyBorder="1" applyAlignment="1" applyProtection="1">
      <alignment horizontal="right" indent="1"/>
    </xf>
    <xf numFmtId="4" fontId="62" fillId="14" borderId="119" xfId="0" applyNumberFormat="1" applyFont="1" applyFill="1" applyBorder="1" applyAlignment="1" applyProtection="1">
      <alignment horizontal="right" vertical="center" indent="1"/>
    </xf>
    <xf numFmtId="4" fontId="62" fillId="15" borderId="119" xfId="0" applyNumberFormat="1" applyFont="1" applyFill="1" applyBorder="1" applyAlignment="1" applyProtection="1">
      <alignment horizontal="right" vertical="center" indent="1"/>
    </xf>
    <xf numFmtId="4" fontId="62" fillId="3" borderId="119" xfId="0" applyNumberFormat="1" applyFont="1" applyFill="1" applyBorder="1" applyAlignment="1" applyProtection="1">
      <alignment horizontal="right" vertical="center" indent="1"/>
    </xf>
    <xf numFmtId="0" fontId="31" fillId="3" borderId="117" xfId="0" applyFont="1" applyFill="1" applyBorder="1" applyAlignment="1" applyProtection="1">
      <alignment horizontal="right"/>
    </xf>
    <xf numFmtId="4" fontId="31" fillId="3" borderId="0" xfId="0" applyNumberFormat="1" applyFont="1" applyFill="1" applyAlignment="1" applyProtection="1">
      <alignment horizontal="right" indent="1"/>
    </xf>
    <xf numFmtId="0" fontId="31" fillId="3" borderId="119" xfId="0" applyFont="1" applyFill="1" applyBorder="1" applyAlignment="1" applyProtection="1">
      <alignment horizontal="right"/>
    </xf>
    <xf numFmtId="4" fontId="31" fillId="3" borderId="119" xfId="0" applyNumberFormat="1" applyFont="1" applyFill="1" applyBorder="1" applyAlignment="1" applyProtection="1">
      <alignment horizontal="right" indent="1"/>
    </xf>
    <xf numFmtId="0" fontId="31" fillId="3" borderId="116" xfId="0" applyFont="1" applyFill="1" applyBorder="1" applyAlignment="1" applyProtection="1">
      <alignment horizontal="right"/>
    </xf>
    <xf numFmtId="0" fontId="62" fillId="3" borderId="119" xfId="0" applyFont="1" applyFill="1" applyBorder="1" applyAlignment="1" applyProtection="1">
      <alignment horizontal="right" vertical="center"/>
    </xf>
    <xf numFmtId="0" fontId="62" fillId="14" borderId="119" xfId="0" applyFont="1" applyFill="1" applyBorder="1" applyAlignment="1" applyProtection="1">
      <alignment horizontal="right" vertical="center"/>
    </xf>
    <xf numFmtId="0" fontId="62" fillId="15" borderId="119" xfId="0" applyFont="1" applyFill="1" applyBorder="1" applyAlignment="1" applyProtection="1">
      <alignment horizontal="right" vertical="center"/>
    </xf>
    <xf numFmtId="0" fontId="121" fillId="2" borderId="167" xfId="0" applyFont="1" applyFill="1" applyBorder="1" applyAlignment="1">
      <alignment horizontal="left" indent="1"/>
    </xf>
    <xf numFmtId="0" fontId="122" fillId="2" borderId="165" xfId="0" applyFont="1" applyFill="1" applyBorder="1" applyAlignment="1">
      <alignment horizontal="left" indent="1"/>
    </xf>
    <xf numFmtId="0" fontId="108" fillId="2" borderId="168" xfId="0" applyFont="1" applyFill="1" applyBorder="1" applyAlignment="1">
      <alignment horizontal="right" indent="1"/>
    </xf>
    <xf numFmtId="0" fontId="121" fillId="2" borderId="169" xfId="0" applyFont="1" applyFill="1" applyBorder="1" applyAlignment="1">
      <alignment horizontal="left" indent="1"/>
    </xf>
    <xf numFmtId="0" fontId="128" fillId="2" borderId="0" xfId="0" applyFont="1" applyFill="1" applyBorder="1" applyAlignment="1" applyProtection="1">
      <alignment horizontal="left" vertical="center" indent="4"/>
    </xf>
    <xf numFmtId="14" fontId="33" fillId="2" borderId="170" xfId="0" applyNumberFormat="1" applyFont="1" applyFill="1" applyBorder="1" applyAlignment="1" applyProtection="1">
      <alignment horizontal="center" vertical="center"/>
    </xf>
    <xf numFmtId="4" fontId="32" fillId="2" borderId="61" xfId="0" applyNumberFormat="1" applyFont="1" applyFill="1" applyBorder="1"/>
    <xf numFmtId="0" fontId="32" fillId="2" borderId="61" xfId="0" applyFont="1" applyFill="1" applyBorder="1"/>
    <xf numFmtId="0" fontId="33" fillId="2" borderId="171" xfId="0" applyFont="1" applyFill="1" applyBorder="1"/>
    <xf numFmtId="0" fontId="33" fillId="2" borderId="61" xfId="0" applyFont="1" applyFill="1" applyBorder="1"/>
    <xf numFmtId="0" fontId="33" fillId="2" borderId="172" xfId="0" applyFont="1" applyFill="1" applyBorder="1"/>
    <xf numFmtId="4" fontId="32" fillId="2" borderId="61" xfId="0" applyNumberFormat="1" applyFont="1" applyFill="1" applyBorder="1" applyAlignment="1">
      <alignment horizontal="right" indent="2"/>
    </xf>
    <xf numFmtId="4" fontId="129" fillId="2" borderId="11" xfId="0" applyNumberFormat="1" applyFont="1" applyFill="1" applyBorder="1" applyAlignment="1">
      <alignment wrapText="1"/>
    </xf>
    <xf numFmtId="4" fontId="130" fillId="2" borderId="11" xfId="0" applyNumberFormat="1" applyFont="1" applyFill="1" applyBorder="1" applyAlignment="1">
      <alignment wrapText="1"/>
    </xf>
    <xf numFmtId="0" fontId="124" fillId="2" borderId="0" xfId="0" applyFont="1" applyFill="1"/>
    <xf numFmtId="4" fontId="3" fillId="11" borderId="73" xfId="0" applyNumberFormat="1" applyFont="1" applyFill="1" applyBorder="1" applyProtection="1">
      <protection locked="0"/>
    </xf>
    <xf numFmtId="4" fontId="3" fillId="2" borderId="176" xfId="0" applyNumberFormat="1" applyFont="1" applyFill="1" applyBorder="1"/>
    <xf numFmtId="4" fontId="3" fillId="2" borderId="174" xfId="0" applyNumberFormat="1" applyFont="1" applyFill="1" applyBorder="1" applyAlignment="1">
      <alignment wrapText="1"/>
    </xf>
    <xf numFmtId="4" fontId="3" fillId="2" borderId="174" xfId="0" applyNumberFormat="1" applyFont="1" applyFill="1" applyBorder="1"/>
    <xf numFmtId="4" fontId="3" fillId="11" borderId="176" xfId="0" applyNumberFormat="1" applyFont="1" applyFill="1" applyBorder="1" applyProtection="1">
      <protection locked="0"/>
    </xf>
    <xf numFmtId="4" fontId="31" fillId="2" borderId="0" xfId="0" applyNumberFormat="1" applyFont="1" applyFill="1" applyBorder="1" applyAlignment="1">
      <alignment horizontal="center" vertical="center"/>
    </xf>
    <xf numFmtId="4" fontId="124" fillId="2" borderId="0" xfId="0" applyNumberFormat="1" applyFont="1" applyFill="1"/>
    <xf numFmtId="4" fontId="129" fillId="2" borderId="10" xfId="0" applyNumberFormat="1" applyFont="1" applyFill="1" applyBorder="1" applyAlignment="1">
      <alignment vertical="top" wrapText="1"/>
    </xf>
    <xf numFmtId="4" fontId="129" fillId="2" borderId="0" xfId="0" applyNumberFormat="1" applyFont="1" applyFill="1" applyBorder="1" applyAlignment="1">
      <alignment vertical="top" wrapText="1"/>
    </xf>
    <xf numFmtId="4" fontId="6" fillId="2" borderId="11" xfId="0" applyNumberFormat="1" applyFont="1" applyFill="1" applyBorder="1"/>
    <xf numFmtId="4" fontId="131" fillId="2" borderId="0" xfId="0" applyNumberFormat="1" applyFont="1" applyFill="1"/>
    <xf numFmtId="0" fontId="131" fillId="2" borderId="0" xfId="0" applyFont="1" applyFill="1"/>
    <xf numFmtId="4" fontId="125" fillId="2" borderId="0" xfId="0" applyNumberFormat="1" applyFont="1" applyFill="1"/>
    <xf numFmtId="0" fontId="131" fillId="2" borderId="0" xfId="0" applyFont="1" applyFill="1" applyAlignment="1">
      <alignment horizontal="left"/>
    </xf>
    <xf numFmtId="0" fontId="131" fillId="2" borderId="0" xfId="0" applyFont="1" applyFill="1" applyAlignment="1"/>
    <xf numFmtId="0" fontId="6" fillId="2" borderId="16" xfId="0" applyFont="1" applyFill="1" applyBorder="1" applyAlignment="1">
      <alignment horizontal="left"/>
    </xf>
    <xf numFmtId="0" fontId="2" fillId="3" borderId="0" xfId="0" applyFont="1" applyFill="1" applyBorder="1" applyAlignment="1">
      <alignment horizontal="left" indent="1"/>
    </xf>
    <xf numFmtId="0" fontId="2" fillId="3" borderId="9" xfId="0" applyFont="1" applyFill="1" applyBorder="1" applyAlignment="1">
      <alignment horizontal="left" indent="1"/>
    </xf>
    <xf numFmtId="4" fontId="3" fillId="2" borderId="11" xfId="0" applyNumberFormat="1" applyFont="1" applyFill="1" applyBorder="1" applyAlignment="1">
      <alignment horizontal="right" vertical="center" indent="1"/>
    </xf>
    <xf numFmtId="0" fontId="16" fillId="2" borderId="0" xfId="0" applyFont="1" applyFill="1" applyBorder="1" applyAlignment="1">
      <alignment horizontal="right" vertical="center"/>
    </xf>
    <xf numFmtId="9" fontId="35" fillId="2" borderId="0" xfId="0" applyNumberFormat="1" applyFont="1" applyFill="1" applyBorder="1" applyAlignment="1">
      <alignment horizontal="left" vertical="center" wrapText="1"/>
    </xf>
    <xf numFmtId="4" fontId="102" fillId="2" borderId="11" xfId="0" applyNumberFormat="1" applyFont="1" applyFill="1" applyBorder="1"/>
    <xf numFmtId="4" fontId="133" fillId="2" borderId="9" xfId="0" applyNumberFormat="1" applyFont="1" applyFill="1" applyBorder="1" applyProtection="1">
      <protection locked="0"/>
    </xf>
    <xf numFmtId="4" fontId="134" fillId="2" borderId="0" xfId="0" applyNumberFormat="1" applyFont="1" applyFill="1"/>
    <xf numFmtId="4" fontId="135" fillId="2" borderId="177" xfId="0" applyNumberFormat="1" applyFont="1" applyFill="1" applyBorder="1" applyAlignment="1">
      <alignment horizontal="right" indent="1"/>
    </xf>
    <xf numFmtId="4" fontId="135" fillId="2" borderId="0" xfId="0" applyNumberFormat="1" applyFont="1" applyFill="1" applyBorder="1" applyAlignment="1">
      <alignment horizontal="right" indent="1"/>
    </xf>
    <xf numFmtId="4" fontId="135" fillId="2" borderId="178" xfId="0" applyNumberFormat="1" applyFont="1" applyFill="1" applyBorder="1" applyAlignment="1">
      <alignment horizontal="right" indent="1"/>
    </xf>
    <xf numFmtId="4" fontId="138" fillId="2" borderId="0" xfId="0" applyNumberFormat="1" applyFont="1" applyFill="1" applyBorder="1" applyAlignment="1">
      <alignment horizontal="right" vertical="top" wrapText="1" indent="1"/>
    </xf>
    <xf numFmtId="4" fontId="138" fillId="2" borderId="0" xfId="0" applyNumberFormat="1" applyFont="1" applyFill="1" applyBorder="1" applyAlignment="1">
      <alignment horizontal="right" vertical="top" wrapText="1"/>
    </xf>
    <xf numFmtId="4" fontId="136" fillId="2" borderId="0" xfId="0" applyNumberFormat="1" applyFont="1" applyFill="1" applyBorder="1" applyAlignment="1">
      <alignment vertical="center"/>
    </xf>
    <xf numFmtId="0" fontId="137" fillId="2" borderId="0" xfId="0" applyFont="1" applyFill="1" applyBorder="1" applyAlignment="1">
      <alignment vertical="center"/>
    </xf>
    <xf numFmtId="4" fontId="136" fillId="2" borderId="181" xfId="0" applyNumberFormat="1" applyFont="1" applyFill="1" applyBorder="1" applyAlignment="1">
      <alignment vertical="center"/>
    </xf>
    <xf numFmtId="4" fontId="125" fillId="2" borderId="11" xfId="0" applyNumberFormat="1" applyFont="1" applyFill="1" applyBorder="1"/>
    <xf numFmtId="4" fontId="135" fillId="18" borderId="182" xfId="0" applyNumberFormat="1" applyFont="1" applyFill="1" applyBorder="1" applyAlignment="1">
      <alignment horizontal="right" indent="1"/>
    </xf>
    <xf numFmtId="4" fontId="135" fillId="2" borderId="180" xfId="0" applyNumberFormat="1" applyFont="1" applyFill="1" applyBorder="1" applyAlignment="1">
      <alignment horizontal="right" vertical="center" indent="1"/>
    </xf>
    <xf numFmtId="4" fontId="135" fillId="18" borderId="183" xfId="0" applyNumberFormat="1" applyFont="1" applyFill="1" applyBorder="1" applyAlignment="1">
      <alignment horizontal="right" indent="1"/>
    </xf>
    <xf numFmtId="4" fontId="139" fillId="2" borderId="185" xfId="0" applyNumberFormat="1" applyFont="1" applyFill="1" applyBorder="1" applyAlignment="1">
      <alignment vertical="top" wrapText="1"/>
    </xf>
    <xf numFmtId="4" fontId="140" fillId="4" borderId="186" xfId="0" applyNumberFormat="1" applyFont="1" applyFill="1" applyBorder="1" applyAlignment="1">
      <alignment horizontal="right" indent="1"/>
    </xf>
    <xf numFmtId="4" fontId="135" fillId="2" borderId="0" xfId="0" applyNumberFormat="1" applyFont="1" applyFill="1" applyBorder="1" applyAlignment="1">
      <alignment horizontal="center"/>
    </xf>
    <xf numFmtId="4" fontId="135" fillId="2" borderId="187" xfId="0" applyNumberFormat="1" applyFont="1" applyFill="1" applyBorder="1" applyAlignment="1">
      <alignment horizontal="right" indent="1"/>
    </xf>
    <xf numFmtId="4" fontId="135" fillId="2" borderId="189" xfId="0" applyNumberFormat="1" applyFont="1" applyFill="1" applyBorder="1" applyAlignment="1">
      <alignment horizontal="right" vertical="center" indent="1"/>
    </xf>
    <xf numFmtId="4" fontId="135" fillId="4" borderId="186" xfId="0" applyNumberFormat="1" applyFont="1" applyFill="1" applyBorder="1" applyAlignment="1">
      <alignment horizontal="right" vertical="center" indent="1"/>
    </xf>
    <xf numFmtId="4" fontId="135" fillId="2" borderId="191" xfId="0" applyNumberFormat="1" applyFont="1" applyFill="1" applyBorder="1" applyAlignment="1">
      <alignment horizontal="right" indent="1"/>
    </xf>
    <xf numFmtId="4" fontId="135" fillId="2" borderId="192" xfId="0" applyNumberFormat="1" applyFont="1" applyFill="1" applyBorder="1" applyAlignment="1">
      <alignment horizontal="right" indent="1"/>
    </xf>
    <xf numFmtId="4" fontId="135" fillId="4" borderId="189" xfId="0" applyNumberFormat="1" applyFont="1" applyFill="1" applyBorder="1" applyAlignment="1">
      <alignment horizontal="right" vertical="center" indent="1"/>
    </xf>
    <xf numFmtId="4" fontId="135" fillId="2" borderId="186" xfId="0" applyNumberFormat="1" applyFont="1" applyFill="1" applyBorder="1" applyAlignment="1">
      <alignment horizontal="right" vertical="center" indent="1"/>
    </xf>
    <xf numFmtId="4" fontId="134" fillId="2" borderId="186" xfId="0" applyNumberFormat="1" applyFont="1" applyFill="1" applyBorder="1" applyAlignment="1">
      <alignment horizontal="left" vertical="center"/>
    </xf>
    <xf numFmtId="4" fontId="134" fillId="2" borderId="192" xfId="0" applyNumberFormat="1" applyFont="1" applyFill="1" applyBorder="1" applyAlignment="1">
      <alignment horizontal="left" vertical="center"/>
    </xf>
    <xf numFmtId="4" fontId="3" fillId="11" borderId="23" xfId="0" applyNumberFormat="1" applyFont="1" applyFill="1" applyBorder="1" applyProtection="1">
      <protection locked="0"/>
    </xf>
    <xf numFmtId="4" fontId="3" fillId="11" borderId="15" xfId="0" applyNumberFormat="1" applyFont="1" applyFill="1" applyBorder="1" applyProtection="1">
      <protection locked="0"/>
    </xf>
    <xf numFmtId="0" fontId="115" fillId="2" borderId="0" xfId="0" applyFont="1" applyFill="1" applyBorder="1"/>
    <xf numFmtId="0" fontId="115" fillId="2" borderId="0" xfId="0" applyFont="1" applyFill="1"/>
    <xf numFmtId="1" fontId="115" fillId="2" borderId="0" xfId="0" applyNumberFormat="1" applyFont="1" applyFill="1" applyBorder="1" applyAlignment="1">
      <alignment horizontal="center" vertical="top"/>
    </xf>
    <xf numFmtId="9" fontId="115" fillId="2" borderId="11" xfId="0" applyNumberFormat="1" applyFont="1" applyFill="1" applyBorder="1" applyAlignment="1">
      <alignment horizontal="center" vertical="center"/>
    </xf>
    <xf numFmtId="9" fontId="115" fillId="2" borderId="0" xfId="0" applyNumberFormat="1" applyFont="1" applyFill="1" applyBorder="1" applyAlignment="1">
      <alignment horizontal="center" vertical="top"/>
    </xf>
    <xf numFmtId="4" fontId="136" fillId="2" borderId="0" xfId="0" applyNumberFormat="1" applyFont="1" applyFill="1" applyBorder="1" applyAlignment="1">
      <alignment vertical="top" wrapText="1"/>
    </xf>
    <xf numFmtId="0" fontId="141" fillId="2" borderId="0" xfId="0" applyFont="1" applyFill="1" applyAlignment="1">
      <alignment horizontal="left"/>
    </xf>
    <xf numFmtId="4" fontId="3" fillId="2" borderId="195" xfId="0" applyNumberFormat="1" applyFont="1" applyFill="1" applyBorder="1"/>
    <xf numFmtId="4" fontId="125" fillId="2" borderId="194" xfId="0" applyNumberFormat="1" applyFont="1" applyFill="1" applyBorder="1" applyAlignment="1">
      <alignment vertical="top" wrapText="1"/>
    </xf>
    <xf numFmtId="4" fontId="136" fillId="2" borderId="196" xfId="0" applyNumberFormat="1" applyFont="1" applyFill="1" applyBorder="1" applyAlignment="1">
      <alignment vertical="top" wrapText="1"/>
    </xf>
    <xf numFmtId="4" fontId="136" fillId="2" borderId="197" xfId="0" applyNumberFormat="1" applyFont="1" applyFill="1" applyBorder="1"/>
    <xf numFmtId="4" fontId="146" fillId="2" borderId="31" xfId="0" applyNumberFormat="1" applyFont="1" applyFill="1" applyBorder="1" applyAlignment="1">
      <alignment horizontal="right" vertical="center" indent="1"/>
    </xf>
    <xf numFmtId="4" fontId="146" fillId="2" borderId="31" xfId="0" applyNumberFormat="1" applyFont="1" applyFill="1" applyBorder="1" applyAlignment="1">
      <alignment horizontal="right" indent="1"/>
    </xf>
    <xf numFmtId="0" fontId="119" fillId="2" borderId="0" xfId="0" applyFont="1" applyFill="1" applyAlignment="1">
      <alignment vertical="center"/>
    </xf>
    <xf numFmtId="0" fontId="121" fillId="19" borderId="167" xfId="0" applyFont="1" applyFill="1" applyBorder="1" applyAlignment="1">
      <alignment horizontal="left" indent="1"/>
    </xf>
    <xf numFmtId="0" fontId="8" fillId="2" borderId="0" xfId="0" applyFont="1" applyFill="1" applyBorder="1" applyAlignment="1" applyProtection="1">
      <alignment horizontal="left" vertical="center" indent="1"/>
    </xf>
    <xf numFmtId="0" fontId="8" fillId="2" borderId="0" xfId="0" applyFont="1" applyFill="1" applyBorder="1" applyAlignment="1" applyProtection="1">
      <alignment horizontal="center" vertical="center"/>
    </xf>
    <xf numFmtId="2" fontId="8" fillId="2" borderId="0" xfId="0" applyNumberFormat="1" applyFont="1" applyFill="1" applyBorder="1" applyAlignment="1" applyProtection="1">
      <alignment horizontal="center" vertical="center"/>
    </xf>
    <xf numFmtId="4" fontId="27" fillId="2" borderId="0" xfId="0" applyNumberFormat="1" applyFont="1" applyFill="1" applyBorder="1" applyAlignment="1" applyProtection="1">
      <alignment horizontal="right" vertical="center" indent="1"/>
    </xf>
    <xf numFmtId="4" fontId="16" fillId="2" borderId="0" xfId="0" applyNumberFormat="1" applyFont="1" applyFill="1" applyBorder="1" applyAlignment="1" applyProtection="1">
      <alignment horizontal="right"/>
    </xf>
    <xf numFmtId="4" fontId="4" fillId="2" borderId="0" xfId="0" applyNumberFormat="1" applyFont="1" applyFill="1" applyBorder="1" applyAlignment="1" applyProtection="1">
      <alignment horizontal="right" indent="2"/>
    </xf>
    <xf numFmtId="4" fontId="8" fillId="2" borderId="0"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 fontId="133" fillId="2" borderId="9" xfId="0" applyNumberFormat="1" applyFont="1" applyFill="1" applyBorder="1" applyProtection="1"/>
    <xf numFmtId="0" fontId="31" fillId="15" borderId="119" xfId="0" applyFont="1" applyFill="1" applyBorder="1" applyAlignment="1" applyProtection="1">
      <alignment horizontal="center"/>
    </xf>
    <xf numFmtId="0" fontId="4" fillId="2" borderId="175" xfId="0" applyFont="1" applyFill="1" applyBorder="1" applyAlignment="1">
      <alignment horizontal="left"/>
    </xf>
    <xf numFmtId="0" fontId="3" fillId="2" borderId="175" xfId="0" applyFont="1" applyFill="1" applyBorder="1" applyAlignment="1">
      <alignment horizontal="left"/>
    </xf>
    <xf numFmtId="0" fontId="4" fillId="11" borderId="175" xfId="0" applyFont="1" applyFill="1" applyBorder="1" applyAlignment="1" applyProtection="1">
      <alignment horizontal="left"/>
      <protection locked="0"/>
    </xf>
    <xf numFmtId="0" fontId="68" fillId="2" borderId="103" xfId="0" applyFont="1" applyFill="1" applyBorder="1" applyAlignment="1">
      <alignment horizontal="center" vertical="center" wrapText="1"/>
    </xf>
    <xf numFmtId="0" fontId="6" fillId="2" borderId="15" xfId="0" applyFont="1" applyFill="1" applyBorder="1" applyAlignment="1">
      <alignment horizontal="left"/>
    </xf>
    <xf numFmtId="0" fontId="6" fillId="2" borderId="16" xfId="0" applyFont="1" applyFill="1" applyBorder="1" applyAlignment="1">
      <alignment horizontal="left"/>
    </xf>
    <xf numFmtId="0" fontId="6" fillId="2" borderId="19" xfId="0" applyFont="1" applyFill="1" applyBorder="1" applyAlignment="1">
      <alignment horizontal="left"/>
    </xf>
    <xf numFmtId="0" fontId="17" fillId="17" borderId="0" xfId="0" applyFont="1" applyFill="1" applyAlignment="1">
      <alignment horizontal="left" wrapText="1"/>
    </xf>
    <xf numFmtId="0" fontId="35" fillId="2" borderId="175" xfId="0" applyFont="1" applyFill="1" applyBorder="1" applyAlignment="1">
      <alignment horizontal="left"/>
    </xf>
    <xf numFmtId="0" fontId="35" fillId="2" borderId="174" xfId="0" applyFont="1" applyFill="1" applyBorder="1" applyAlignment="1">
      <alignment horizontal="left"/>
    </xf>
    <xf numFmtId="0" fontId="24" fillId="2" borderId="0" xfId="0" applyFont="1" applyFill="1" applyBorder="1" applyAlignment="1">
      <alignment horizontal="left" vertical="top" wrapText="1" indent="1"/>
    </xf>
    <xf numFmtId="0" fontId="51" fillId="2" borderId="0" xfId="0" applyFont="1" applyFill="1" applyAlignment="1">
      <alignment horizontal="left" vertical="center"/>
    </xf>
    <xf numFmtId="0" fontId="3" fillId="11" borderId="16" xfId="0" applyFont="1" applyFill="1" applyBorder="1" applyAlignment="1" applyProtection="1">
      <alignment horizontal="left"/>
      <protection locked="0"/>
    </xf>
    <xf numFmtId="0" fontId="3" fillId="11" borderId="19" xfId="0" applyFont="1" applyFill="1" applyBorder="1" applyAlignment="1" applyProtection="1">
      <alignment horizontal="left"/>
      <protection locked="0"/>
    </xf>
    <xf numFmtId="0" fontId="3" fillId="2" borderId="174" xfId="0" applyFont="1" applyFill="1" applyBorder="1" applyAlignment="1">
      <alignment horizontal="left"/>
    </xf>
    <xf numFmtId="0" fontId="2" fillId="5" borderId="10" xfId="0" applyFont="1" applyFill="1" applyBorder="1" applyAlignment="1">
      <alignment horizontal="left" vertical="center" indent="1"/>
    </xf>
    <xf numFmtId="0" fontId="2" fillId="5" borderId="0" xfId="0" applyFont="1" applyFill="1" applyBorder="1" applyAlignment="1">
      <alignment horizontal="left" vertical="center" indent="1"/>
    </xf>
    <xf numFmtId="0" fontId="2" fillId="5" borderId="34" xfId="0" applyFont="1" applyFill="1" applyBorder="1" applyAlignment="1">
      <alignment horizontal="left" vertical="center" indent="1"/>
    </xf>
    <xf numFmtId="0" fontId="2" fillId="5" borderId="36" xfId="0" applyFont="1" applyFill="1" applyBorder="1" applyAlignment="1">
      <alignment horizontal="left" vertical="center" indent="1"/>
    </xf>
    <xf numFmtId="0" fontId="6" fillId="2" borderId="20" xfId="0" applyFont="1" applyFill="1" applyBorder="1" applyAlignment="1">
      <alignment horizontal="left"/>
    </xf>
    <xf numFmtId="0" fontId="116" fillId="2" borderId="7" xfId="0" applyFont="1" applyFill="1" applyBorder="1" applyAlignment="1">
      <alignment horizontal="center" vertical="center" wrapText="1"/>
    </xf>
    <xf numFmtId="0" fontId="119" fillId="2" borderId="0" xfId="0" applyFont="1" applyFill="1" applyAlignment="1">
      <alignment horizontal="center" vertical="center"/>
    </xf>
    <xf numFmtId="0" fontId="86" fillId="2" borderId="31" xfId="0" applyFont="1" applyFill="1" applyBorder="1" applyAlignment="1">
      <alignment horizontal="center" vertical="center" wrapText="1"/>
    </xf>
    <xf numFmtId="0" fontId="144" fillId="5" borderId="35" xfId="0" applyFont="1" applyFill="1" applyBorder="1" applyAlignment="1">
      <alignment horizontal="left" vertical="center" indent="1"/>
    </xf>
    <xf numFmtId="0" fontId="2" fillId="5" borderId="38" xfId="0" applyFont="1" applyFill="1" applyBorder="1" applyAlignment="1">
      <alignment horizontal="left" vertical="center" indent="1"/>
    </xf>
    <xf numFmtId="0" fontId="64" fillId="2" borderId="0" xfId="0" applyFont="1" applyFill="1" applyBorder="1" applyAlignment="1" applyProtection="1">
      <alignment horizontal="center" vertical="center" wrapText="1"/>
      <protection locked="0"/>
    </xf>
    <xf numFmtId="0" fontId="2" fillId="5" borderId="10" xfId="0" applyFont="1" applyFill="1" applyBorder="1" applyAlignment="1">
      <alignment horizontal="center"/>
    </xf>
    <xf numFmtId="0" fontId="2" fillId="5" borderId="0" xfId="0" applyFont="1" applyFill="1" applyBorder="1" applyAlignment="1">
      <alignment horizontal="center"/>
    </xf>
    <xf numFmtId="0" fontId="2" fillId="5" borderId="34" xfId="0" applyFont="1" applyFill="1" applyBorder="1" applyAlignment="1">
      <alignment horizontal="center"/>
    </xf>
    <xf numFmtId="0" fontId="2" fillId="5" borderId="36" xfId="0" applyFont="1" applyFill="1" applyBorder="1" applyAlignment="1">
      <alignment horizontal="center"/>
    </xf>
    <xf numFmtId="0" fontId="2" fillId="3" borderId="0" xfId="0" applyFont="1" applyFill="1" applyBorder="1" applyAlignment="1">
      <alignment horizontal="left" indent="1"/>
    </xf>
    <xf numFmtId="0" fontId="2" fillId="3" borderId="9" xfId="0" applyFont="1" applyFill="1" applyBorder="1" applyAlignment="1">
      <alignment horizontal="left" indent="1"/>
    </xf>
    <xf numFmtId="0" fontId="145" fillId="5" borderId="35" xfId="0" applyFont="1" applyFill="1" applyBorder="1" applyAlignment="1">
      <alignment horizontal="left" indent="1"/>
    </xf>
    <xf numFmtId="0" fontId="2" fillId="5" borderId="37" xfId="0" applyFont="1" applyFill="1" applyBorder="1" applyAlignment="1">
      <alignment horizontal="left" indent="1"/>
    </xf>
    <xf numFmtId="0" fontId="145" fillId="5" borderId="35" xfId="0" applyFont="1" applyFill="1" applyBorder="1" applyAlignment="1">
      <alignment horizontal="left" vertical="center" indent="1"/>
    </xf>
    <xf numFmtId="0" fontId="52" fillId="2" borderId="16" xfId="0" applyFont="1" applyFill="1" applyBorder="1" applyAlignment="1">
      <alignment horizontal="left"/>
    </xf>
    <xf numFmtId="0" fontId="4" fillId="2" borderId="15" xfId="0" applyFont="1" applyFill="1" applyBorder="1" applyAlignment="1">
      <alignment horizontal="left"/>
    </xf>
    <xf numFmtId="0" fontId="4" fillId="2" borderId="16" xfId="0" applyFont="1" applyFill="1" applyBorder="1" applyAlignment="1">
      <alignment horizontal="left"/>
    </xf>
    <xf numFmtId="0" fontId="8" fillId="11" borderId="101" xfId="0" applyFont="1" applyFill="1" applyBorder="1" applyAlignment="1" applyProtection="1">
      <alignment horizontal="left" vertical="center" indent="1"/>
      <protection locked="0"/>
    </xf>
    <xf numFmtId="0" fontId="8" fillId="11" borderId="102" xfId="0" applyFont="1" applyFill="1" applyBorder="1" applyAlignment="1" applyProtection="1">
      <alignment horizontal="left" vertical="center" indent="1"/>
      <protection locked="0"/>
    </xf>
    <xf numFmtId="0" fontId="8" fillId="11" borderId="104" xfId="0" applyFont="1" applyFill="1" applyBorder="1" applyAlignment="1" applyProtection="1">
      <alignment horizontal="left" vertical="center" indent="1"/>
      <protection locked="0"/>
    </xf>
    <xf numFmtId="0" fontId="31" fillId="2" borderId="0" xfId="0" applyFont="1" applyFill="1" applyBorder="1" applyAlignment="1">
      <alignment horizontal="center" vertical="center"/>
    </xf>
    <xf numFmtId="0" fontId="34" fillId="2" borderId="0" xfId="0" applyFont="1" applyFill="1" applyBorder="1" applyAlignment="1">
      <alignment horizontal="left" vertical="center" wrapText="1"/>
    </xf>
    <xf numFmtId="49" fontId="8" fillId="11" borderId="7" xfId="0" applyNumberFormat="1" applyFont="1" applyFill="1" applyBorder="1" applyAlignment="1" applyProtection="1">
      <alignment horizontal="center" vertical="center"/>
      <protection locked="0"/>
    </xf>
    <xf numFmtId="0" fontId="4" fillId="2" borderId="173" xfId="0" applyFont="1" applyFill="1" applyBorder="1" applyAlignment="1">
      <alignment horizontal="left"/>
    </xf>
    <xf numFmtId="0" fontId="4" fillId="2" borderId="74" xfId="0" applyFont="1" applyFill="1" applyBorder="1" applyAlignment="1">
      <alignment horizontal="left"/>
    </xf>
    <xf numFmtId="4" fontId="3" fillId="2" borderId="11" xfId="0" applyNumberFormat="1" applyFont="1" applyFill="1" applyBorder="1" applyAlignment="1">
      <alignment horizontal="right" vertical="center" indent="1"/>
    </xf>
    <xf numFmtId="4" fontId="3" fillId="2" borderId="25" xfId="0" applyNumberFormat="1" applyFont="1" applyFill="1" applyBorder="1" applyAlignment="1">
      <alignment horizontal="right" vertical="center" indent="1"/>
    </xf>
    <xf numFmtId="0" fontId="4" fillId="2" borderId="20" xfId="0" applyFont="1" applyFill="1" applyBorder="1" applyAlignment="1">
      <alignment horizontal="left"/>
    </xf>
    <xf numFmtId="0" fontId="52" fillId="11" borderId="16" xfId="0" applyFont="1" applyFill="1" applyBorder="1" applyAlignment="1" applyProtection="1">
      <alignment horizontal="left"/>
      <protection locked="0"/>
    </xf>
    <xf numFmtId="0" fontId="52" fillId="11" borderId="19" xfId="0" applyFont="1" applyFill="1" applyBorder="1" applyAlignment="1" applyProtection="1">
      <alignment horizontal="left"/>
      <protection locked="0"/>
    </xf>
    <xf numFmtId="0" fontId="4" fillId="11" borderId="16" xfId="0" applyFont="1" applyFill="1" applyBorder="1" applyAlignment="1" applyProtection="1">
      <alignment horizontal="left"/>
      <protection locked="0"/>
    </xf>
    <xf numFmtId="0" fontId="4" fillId="11" borderId="19" xfId="0" applyFont="1" applyFill="1" applyBorder="1" applyAlignment="1" applyProtection="1">
      <alignment horizontal="left"/>
      <protection locked="0"/>
    </xf>
    <xf numFmtId="0" fontId="16" fillId="2" borderId="0" xfId="0" applyFont="1" applyFill="1" applyBorder="1" applyAlignment="1">
      <alignment horizontal="right" vertical="center"/>
    </xf>
    <xf numFmtId="0" fontId="17" fillId="2" borderId="9" xfId="0" applyFont="1" applyFill="1" applyBorder="1" applyAlignment="1">
      <alignment horizontal="right" vertical="center"/>
    </xf>
    <xf numFmtId="49" fontId="8" fillId="2" borderId="7" xfId="0" applyNumberFormat="1" applyFont="1" applyFill="1" applyBorder="1" applyAlignment="1">
      <alignment horizontal="center" vertical="center"/>
    </xf>
    <xf numFmtId="0" fontId="8" fillId="11" borderId="7" xfId="0" applyFont="1" applyFill="1" applyBorder="1" applyAlignment="1" applyProtection="1">
      <alignment horizontal="left" vertical="center" indent="1"/>
      <protection locked="0"/>
    </xf>
    <xf numFmtId="0" fontId="4" fillId="11" borderId="15" xfId="0" applyFont="1" applyFill="1" applyBorder="1" applyAlignment="1" applyProtection="1">
      <alignment horizontal="left"/>
      <protection locked="0"/>
    </xf>
    <xf numFmtId="0" fontId="4" fillId="11" borderId="20" xfId="0" applyFont="1" applyFill="1" applyBorder="1" applyAlignment="1" applyProtection="1">
      <alignment horizontal="left"/>
      <protection locked="0"/>
    </xf>
    <xf numFmtId="0" fontId="132" fillId="11" borderId="16" xfId="0" applyFont="1" applyFill="1" applyBorder="1" applyAlignment="1" applyProtection="1">
      <alignment horizontal="left"/>
      <protection locked="0"/>
    </xf>
    <xf numFmtId="0" fontId="132" fillId="11" borderId="19" xfId="0" applyFont="1" applyFill="1" applyBorder="1" applyAlignment="1" applyProtection="1">
      <alignment horizontal="left"/>
      <protection locked="0"/>
    </xf>
    <xf numFmtId="0" fontId="0" fillId="11" borderId="173" xfId="0" applyFill="1" applyBorder="1" applyAlignment="1" applyProtection="1">
      <alignment horizontal="left"/>
      <protection locked="0"/>
    </xf>
    <xf numFmtId="0" fontId="0" fillId="11" borderId="74" xfId="0" applyFill="1" applyBorder="1" applyAlignment="1" applyProtection="1">
      <alignment horizontal="left"/>
      <protection locked="0"/>
    </xf>
    <xf numFmtId="4" fontId="134" fillId="2" borderId="178" xfId="0" applyNumberFormat="1" applyFont="1" applyFill="1" applyBorder="1" applyAlignment="1">
      <alignment horizontal="center" vertical="center" wrapText="1"/>
    </xf>
    <xf numFmtId="4" fontId="134" fillId="2" borderId="188" xfId="0" applyNumberFormat="1" applyFont="1" applyFill="1" applyBorder="1" applyAlignment="1">
      <alignment horizontal="center" vertical="center" wrapText="1"/>
    </xf>
    <xf numFmtId="4" fontId="134" fillId="2" borderId="187" xfId="0" applyNumberFormat="1" applyFont="1" applyFill="1" applyBorder="1" applyAlignment="1">
      <alignment horizontal="center" vertical="center" wrapText="1"/>
    </xf>
    <xf numFmtId="4" fontId="134" fillId="2" borderId="178" xfId="0" applyNumberFormat="1" applyFont="1" applyFill="1" applyBorder="1" applyAlignment="1">
      <alignment horizontal="center" vertical="center"/>
    </xf>
    <xf numFmtId="4" fontId="134" fillId="2" borderId="188" xfId="0" applyNumberFormat="1" applyFont="1" applyFill="1" applyBorder="1" applyAlignment="1">
      <alignment horizontal="center" vertical="center"/>
    </xf>
    <xf numFmtId="4" fontId="134" fillId="2" borderId="187" xfId="0" applyNumberFormat="1" applyFont="1" applyFill="1" applyBorder="1" applyAlignment="1">
      <alignment horizontal="center" vertical="center"/>
    </xf>
    <xf numFmtId="0" fontId="31" fillId="2" borderId="4" xfId="0" applyFont="1" applyFill="1" applyBorder="1" applyAlignment="1">
      <alignment horizontal="left" vertical="center" wrapText="1"/>
    </xf>
    <xf numFmtId="0" fontId="4" fillId="2" borderId="19" xfId="0" applyFont="1" applyFill="1" applyBorder="1" applyAlignment="1">
      <alignment horizontal="left"/>
    </xf>
    <xf numFmtId="4" fontId="134" fillId="2" borderId="190" xfId="0" applyNumberFormat="1" applyFont="1" applyFill="1" applyBorder="1" applyAlignment="1">
      <alignment horizontal="center" vertical="center" wrapText="1"/>
    </xf>
    <xf numFmtId="4" fontId="134" fillId="2" borderId="193" xfId="0" applyNumberFormat="1" applyFont="1" applyFill="1" applyBorder="1" applyAlignment="1">
      <alignment horizontal="center" vertical="center"/>
    </xf>
    <xf numFmtId="4" fontId="134" fillId="2" borderId="0" xfId="0" applyNumberFormat="1" applyFont="1" applyFill="1" applyAlignment="1">
      <alignment horizontal="left" wrapText="1"/>
    </xf>
    <xf numFmtId="4" fontId="135" fillId="2" borderId="187" xfId="0" applyNumberFormat="1" applyFont="1" applyFill="1" applyBorder="1" applyAlignment="1">
      <alignment horizontal="right" vertical="center" indent="1"/>
    </xf>
    <xf numFmtId="4" fontId="135" fillId="2" borderId="177" xfId="0" applyNumberFormat="1" applyFont="1" applyFill="1" applyBorder="1" applyAlignment="1">
      <alignment horizontal="right" vertical="center" indent="1"/>
    </xf>
    <xf numFmtId="4" fontId="135" fillId="2" borderId="178" xfId="0" applyNumberFormat="1" applyFont="1" applyFill="1" applyBorder="1" applyAlignment="1">
      <alignment horizontal="right" vertical="center" indent="1"/>
    </xf>
    <xf numFmtId="4" fontId="140" fillId="4" borderId="184" xfId="0" applyNumberFormat="1" applyFont="1" applyFill="1" applyBorder="1" applyAlignment="1">
      <alignment horizontal="center"/>
    </xf>
    <xf numFmtId="4" fontId="140" fillId="4" borderId="179" xfId="0" applyNumberFormat="1" applyFont="1" applyFill="1" applyBorder="1" applyAlignment="1">
      <alignment horizontal="center"/>
    </xf>
    <xf numFmtId="0" fontId="4" fillId="2" borderId="175" xfId="0" applyFont="1" applyFill="1" applyBorder="1" applyAlignment="1" applyProtection="1">
      <alignment horizontal="left"/>
    </xf>
    <xf numFmtId="49" fontId="8" fillId="2" borderId="7" xfId="0" applyNumberFormat="1" applyFont="1" applyFill="1" applyBorder="1" applyAlignment="1" applyProtection="1">
      <alignment horizontal="center" vertical="center"/>
    </xf>
    <xf numFmtId="0" fontId="57" fillId="2" borderId="115" xfId="0" applyFont="1" applyFill="1" applyBorder="1" applyAlignment="1" applyProtection="1">
      <alignment horizontal="right" indent="1"/>
    </xf>
    <xf numFmtId="0" fontId="57" fillId="2" borderId="113" xfId="0" applyFont="1" applyFill="1" applyBorder="1" applyAlignment="1" applyProtection="1">
      <alignment horizontal="right" indent="1"/>
    </xf>
    <xf numFmtId="0" fontId="58" fillId="2" borderId="115" xfId="0" applyFont="1" applyFill="1" applyBorder="1" applyAlignment="1" applyProtection="1">
      <alignment horizontal="right" indent="1"/>
    </xf>
    <xf numFmtId="0" fontId="58" fillId="2" borderId="113" xfId="0" applyFont="1" applyFill="1" applyBorder="1" applyAlignment="1" applyProtection="1">
      <alignment horizontal="right" indent="1"/>
    </xf>
    <xf numFmtId="0" fontId="83" fillId="15" borderId="134" xfId="0" applyFont="1" applyFill="1" applyBorder="1" applyAlignment="1" applyProtection="1">
      <alignment horizontal="right" vertical="center" indent="1"/>
    </xf>
    <xf numFmtId="0" fontId="83" fillId="15" borderId="159" xfId="0" applyFont="1" applyFill="1" applyBorder="1" applyAlignment="1" applyProtection="1">
      <alignment horizontal="right" vertical="center" indent="1"/>
    </xf>
    <xf numFmtId="0" fontId="90" fillId="2" borderId="0" xfId="0" applyFont="1" applyFill="1" applyBorder="1" applyAlignment="1" applyProtection="1">
      <alignment horizontal="left" vertical="center" indent="2"/>
    </xf>
    <xf numFmtId="0" fontId="89" fillId="2" borderId="0" xfId="0" applyFont="1" applyFill="1" applyBorder="1" applyAlignment="1" applyProtection="1">
      <alignment horizontal="center" vertical="center"/>
    </xf>
    <xf numFmtId="0" fontId="83" fillId="3" borderId="113" xfId="0" applyFont="1" applyFill="1" applyBorder="1" applyAlignment="1" applyProtection="1">
      <alignment horizontal="right" vertical="center" indent="1"/>
    </xf>
    <xf numFmtId="0" fontId="120" fillId="15" borderId="132" xfId="0" applyFont="1" applyFill="1" applyBorder="1" applyAlignment="1" applyProtection="1">
      <alignment horizontal="left" vertical="center"/>
    </xf>
    <xf numFmtId="0" fontId="120" fillId="15" borderId="133" xfId="0" applyFont="1" applyFill="1" applyBorder="1" applyAlignment="1" applyProtection="1">
      <alignment horizontal="left" vertical="center"/>
    </xf>
    <xf numFmtId="0" fontId="57" fillId="11" borderId="115" xfId="0" applyFont="1" applyFill="1" applyBorder="1" applyAlignment="1" applyProtection="1">
      <alignment horizontal="right" indent="1"/>
      <protection locked="0"/>
    </xf>
    <xf numFmtId="0" fontId="57" fillId="11" borderId="113" xfId="0" applyFont="1" applyFill="1" applyBorder="1" applyAlignment="1" applyProtection="1">
      <alignment horizontal="right" indent="1"/>
      <protection locked="0"/>
    </xf>
    <xf numFmtId="0" fontId="58" fillId="2" borderId="132" xfId="0" applyFont="1" applyFill="1" applyBorder="1" applyAlignment="1" applyProtection="1">
      <alignment horizontal="right" indent="1"/>
    </xf>
    <xf numFmtId="0" fontId="58" fillId="2" borderId="134" xfId="0" applyFont="1" applyFill="1" applyBorder="1" applyAlignment="1" applyProtection="1">
      <alignment horizontal="right" indent="1"/>
    </xf>
    <xf numFmtId="0" fontId="58" fillId="2" borderId="136" xfId="0" applyFont="1" applyFill="1" applyBorder="1" applyAlignment="1" applyProtection="1">
      <alignment horizontal="right" indent="1"/>
    </xf>
    <xf numFmtId="0" fontId="58" fillId="2" borderId="137" xfId="0" applyFont="1" applyFill="1" applyBorder="1" applyAlignment="1" applyProtection="1">
      <alignment horizontal="right" indent="1"/>
    </xf>
    <xf numFmtId="0" fontId="120" fillId="3" borderId="0" xfId="0" applyFont="1" applyFill="1" applyBorder="1" applyAlignment="1" applyProtection="1">
      <alignment horizontal="left" vertical="center"/>
    </xf>
    <xf numFmtId="0" fontId="120" fillId="3" borderId="118" xfId="0" applyFont="1" applyFill="1" applyBorder="1" applyAlignment="1" applyProtection="1">
      <alignment horizontal="left" vertical="center"/>
    </xf>
    <xf numFmtId="0" fontId="58" fillId="2" borderId="138" xfId="0" applyFont="1" applyFill="1" applyBorder="1" applyAlignment="1" applyProtection="1">
      <alignment horizontal="right" indent="1"/>
    </xf>
    <xf numFmtId="0" fontId="58" fillId="2" borderId="139" xfId="0" applyFont="1" applyFill="1" applyBorder="1" applyAlignment="1" applyProtection="1">
      <alignment horizontal="right" indent="1"/>
    </xf>
    <xf numFmtId="0" fontId="83" fillId="14" borderId="113" xfId="0" applyFont="1" applyFill="1" applyBorder="1" applyAlignment="1" applyProtection="1">
      <alignment horizontal="right" vertical="center" indent="1"/>
    </xf>
    <xf numFmtId="0" fontId="1" fillId="14" borderId="0" xfId="0" applyFont="1" applyFill="1" applyBorder="1" applyAlignment="1" applyProtection="1">
      <alignment horizontal="left" vertical="center" wrapText="1"/>
    </xf>
    <xf numFmtId="0" fontId="1" fillId="14" borderId="118" xfId="0" applyFont="1" applyFill="1" applyBorder="1" applyAlignment="1" applyProtection="1">
      <alignment horizontal="left" vertical="center" wrapText="1"/>
    </xf>
    <xf numFmtId="0" fontId="98" fillId="2" borderId="143" xfId="0" applyFont="1" applyFill="1" applyBorder="1" applyAlignment="1" applyProtection="1">
      <alignment horizontal="left" vertical="top" indent="2"/>
    </xf>
    <xf numFmtId="0" fontId="99" fillId="2" borderId="143" xfId="0" applyFont="1" applyFill="1" applyBorder="1" applyAlignment="1" applyProtection="1">
      <alignment horizontal="right"/>
    </xf>
    <xf numFmtId="0" fontId="94" fillId="2" borderId="0" xfId="0" applyFont="1" applyFill="1" applyAlignment="1" applyProtection="1">
      <alignment horizontal="left" vertical="center" wrapText="1" indent="2"/>
    </xf>
    <xf numFmtId="0" fontId="45" fillId="12" borderId="0" xfId="0" applyFont="1" applyFill="1" applyBorder="1" applyAlignment="1">
      <alignment horizontal="right" vertical="center" wrapText="1" indent="1"/>
    </xf>
    <xf numFmtId="0" fontId="45" fillId="12" borderId="46" xfId="0" applyFont="1" applyFill="1" applyBorder="1" applyAlignment="1">
      <alignment horizontal="right" vertical="center" wrapText="1" indent="1"/>
    </xf>
    <xf numFmtId="0" fontId="38" fillId="4" borderId="52" xfId="0" applyFont="1" applyFill="1" applyBorder="1" applyAlignment="1">
      <alignment horizontal="center" vertical="center"/>
    </xf>
    <xf numFmtId="0" fontId="38" fillId="4" borderId="44" xfId="0" applyFont="1" applyFill="1" applyBorder="1" applyAlignment="1">
      <alignment horizontal="center" vertical="center"/>
    </xf>
    <xf numFmtId="0" fontId="38" fillId="4" borderId="54" xfId="0" applyFont="1" applyFill="1" applyBorder="1" applyAlignment="1">
      <alignment horizontal="center" vertical="center"/>
    </xf>
    <xf numFmtId="0" fontId="38" fillId="4" borderId="46" xfId="0" applyFont="1" applyFill="1" applyBorder="1" applyAlignment="1">
      <alignment horizontal="center" vertical="center"/>
    </xf>
    <xf numFmtId="0" fontId="24" fillId="10" borderId="44" xfId="0" applyFont="1" applyFill="1" applyBorder="1" applyAlignment="1">
      <alignment horizontal="right" vertical="center" wrapText="1" indent="1"/>
    </xf>
    <xf numFmtId="0" fontId="24" fillId="10" borderId="0" xfId="0" applyFont="1" applyFill="1" applyBorder="1" applyAlignment="1">
      <alignment horizontal="right" vertical="center" wrapText="1" indent="1"/>
    </xf>
    <xf numFmtId="0" fontId="24" fillId="10" borderId="46" xfId="0" applyFont="1" applyFill="1" applyBorder="1" applyAlignment="1">
      <alignment horizontal="right" vertical="center" wrapText="1" indent="1"/>
    </xf>
    <xf numFmtId="0" fontId="24" fillId="11" borderId="0" xfId="0" applyFont="1" applyFill="1" applyBorder="1" applyAlignment="1">
      <alignment horizontal="right" vertical="center" wrapText="1" indent="1"/>
    </xf>
    <xf numFmtId="0" fontId="24" fillId="11" borderId="46" xfId="0" applyFont="1" applyFill="1" applyBorder="1" applyAlignment="1">
      <alignment horizontal="right" vertical="center" wrapText="1" indent="1"/>
    </xf>
    <xf numFmtId="0" fontId="45" fillId="9" borderId="44" xfId="0" applyFont="1" applyFill="1" applyBorder="1" applyAlignment="1">
      <alignment horizontal="right" vertical="center" wrapText="1" indent="1"/>
    </xf>
    <xf numFmtId="0" fontId="45" fillId="9" borderId="0" xfId="0" applyFont="1" applyFill="1" applyBorder="1" applyAlignment="1">
      <alignment horizontal="right" vertical="center" wrapText="1" indent="1"/>
    </xf>
    <xf numFmtId="0" fontId="45" fillId="12" borderId="52" xfId="0" applyFont="1" applyFill="1" applyBorder="1" applyAlignment="1">
      <alignment horizontal="right" vertical="center" wrapText="1" indent="1"/>
    </xf>
    <xf numFmtId="0" fontId="45" fillId="12" borderId="53" xfId="0" applyFont="1" applyFill="1" applyBorder="1" applyAlignment="1">
      <alignment horizontal="right" vertical="center" wrapText="1" indent="1"/>
    </xf>
    <xf numFmtId="0" fontId="45" fillId="12" borderId="54" xfId="0" applyFont="1" applyFill="1" applyBorder="1" applyAlignment="1">
      <alignment horizontal="right" vertical="center" wrapText="1" indent="1"/>
    </xf>
    <xf numFmtId="0" fontId="45" fillId="9" borderId="52" xfId="0" applyFont="1" applyFill="1" applyBorder="1" applyAlignment="1">
      <alignment horizontal="right" vertical="center" wrapText="1" indent="1"/>
    </xf>
    <xf numFmtId="0" fontId="45" fillId="9" borderId="54" xfId="0" applyFont="1" applyFill="1" applyBorder="1" applyAlignment="1">
      <alignment horizontal="right" vertical="center" wrapText="1" indent="1"/>
    </xf>
    <xf numFmtId="0" fontId="38" fillId="11" borderId="51" xfId="0" applyFont="1" applyFill="1" applyBorder="1" applyAlignment="1">
      <alignment horizontal="center" vertical="center" wrapText="1"/>
    </xf>
    <xf numFmtId="0" fontId="38" fillId="11" borderId="49" xfId="0" applyFont="1" applyFill="1" applyBorder="1" applyAlignment="1">
      <alignment horizontal="center" vertical="center" wrapText="1"/>
    </xf>
    <xf numFmtId="0" fontId="38" fillId="11" borderId="50" xfId="0" applyFont="1" applyFill="1" applyBorder="1" applyAlignment="1">
      <alignment horizontal="center" vertical="center" wrapText="1"/>
    </xf>
    <xf numFmtId="0" fontId="46" fillId="9" borderId="55" xfId="0" applyFont="1" applyFill="1" applyBorder="1" applyAlignment="1">
      <alignment horizontal="center" vertical="center" wrapText="1"/>
    </xf>
    <xf numFmtId="0" fontId="46" fillId="9" borderId="56" xfId="0" applyFont="1" applyFill="1" applyBorder="1" applyAlignment="1">
      <alignment horizontal="center" vertical="center" wrapText="1"/>
    </xf>
    <xf numFmtId="0" fontId="46" fillId="9" borderId="41" xfId="0" applyFont="1" applyFill="1" applyBorder="1" applyAlignment="1">
      <alignment horizontal="center" vertical="center" wrapText="1"/>
    </xf>
    <xf numFmtId="0" fontId="24" fillId="11" borderId="44" xfId="0" applyFont="1" applyFill="1" applyBorder="1" applyAlignment="1">
      <alignment horizontal="right" vertical="center" wrapText="1" indent="1"/>
    </xf>
    <xf numFmtId="0" fontId="81" fillId="7" borderId="105" xfId="0" applyFont="1" applyFill="1" applyBorder="1" applyAlignment="1">
      <alignment horizontal="center" vertical="center"/>
    </xf>
    <xf numFmtId="0" fontId="81" fillId="13" borderId="105" xfId="0" applyFont="1" applyFill="1" applyBorder="1" applyAlignment="1">
      <alignment horizontal="center" vertical="center"/>
    </xf>
    <xf numFmtId="0" fontId="77" fillId="2" borderId="107" xfId="0" applyFont="1" applyFill="1" applyBorder="1" applyAlignment="1">
      <alignment horizontal="center" vertical="center" wrapText="1"/>
    </xf>
    <xf numFmtId="0" fontId="106" fillId="13" borderId="106" xfId="0" applyFont="1" applyFill="1" applyBorder="1" applyAlignment="1">
      <alignment horizontal="center" vertical="center" wrapText="1"/>
    </xf>
    <xf numFmtId="0" fontId="106" fillId="13" borderId="151" xfId="0" applyFont="1" applyFill="1" applyBorder="1" applyAlignment="1">
      <alignment horizontal="center" vertical="center" wrapText="1"/>
    </xf>
    <xf numFmtId="0" fontId="106" fillId="13" borderId="146" xfId="0" applyFont="1" applyFill="1" applyBorder="1" applyAlignment="1">
      <alignment horizontal="center" vertical="center" wrapText="1"/>
    </xf>
    <xf numFmtId="0" fontId="106" fillId="13" borderId="147" xfId="0" applyFont="1" applyFill="1" applyBorder="1" applyAlignment="1">
      <alignment horizontal="center" vertical="center" wrapText="1"/>
    </xf>
    <xf numFmtId="0" fontId="111" fillId="2" borderId="160" xfId="0" applyFont="1" applyFill="1" applyBorder="1" applyAlignment="1">
      <alignment horizontal="center" vertical="center" wrapText="1"/>
    </xf>
    <xf numFmtId="0" fontId="111" fillId="2" borderId="161" xfId="0" applyFont="1" applyFill="1" applyBorder="1" applyAlignment="1">
      <alignment horizontal="center" vertical="center" wrapText="1"/>
    </xf>
    <xf numFmtId="0" fontId="77" fillId="2" borderId="145" xfId="0" applyFont="1" applyFill="1" applyBorder="1" applyAlignment="1">
      <alignment horizontal="center" vertical="center" wrapText="1"/>
    </xf>
    <xf numFmtId="0" fontId="77" fillId="2" borderId="150" xfId="0" applyFont="1" applyFill="1" applyBorder="1" applyAlignment="1">
      <alignment horizontal="center" vertical="center" wrapText="1"/>
    </xf>
    <xf numFmtId="0" fontId="77" fillId="13" borderId="152" xfId="0" applyFont="1" applyFill="1" applyBorder="1" applyAlignment="1">
      <alignment horizontal="right" vertical="center"/>
    </xf>
    <xf numFmtId="0" fontId="77" fillId="13" borderId="153" xfId="0" applyFont="1" applyFill="1" applyBorder="1" applyAlignment="1">
      <alignment horizontal="right" vertical="center"/>
    </xf>
    <xf numFmtId="0" fontId="77" fillId="13" borderId="155" xfId="0" applyFont="1" applyFill="1" applyBorder="1" applyAlignment="1">
      <alignment horizontal="right" vertical="center"/>
    </xf>
    <xf numFmtId="0" fontId="77" fillId="13" borderId="156" xfId="0" applyFont="1" applyFill="1" applyBorder="1" applyAlignment="1">
      <alignment horizontal="right" vertical="center"/>
    </xf>
    <xf numFmtId="14" fontId="30" fillId="8" borderId="39" xfId="0" applyNumberFormat="1" applyFont="1" applyFill="1" applyBorder="1" applyAlignment="1">
      <alignment horizontal="center"/>
    </xf>
  </cellXfs>
  <cellStyles count="3">
    <cellStyle name="Hipervínculo" xfId="2" builtinId="8"/>
    <cellStyle name="Normal" xfId="0" builtinId="0"/>
    <cellStyle name="Porcentaje" xfId="1" builtinId="5"/>
  </cellStyles>
  <dxfs count="443">
    <dxf>
      <fill>
        <patternFill>
          <bgColor theme="7"/>
        </patternFill>
      </fill>
    </dxf>
    <dxf>
      <fill>
        <patternFill>
          <bgColor rgb="FFDADAE6"/>
        </patternFill>
      </fill>
    </dxf>
    <dxf>
      <font>
        <color rgb="FFDADAE6"/>
      </font>
    </dxf>
    <dxf>
      <font>
        <color theme="0"/>
      </font>
    </dxf>
    <dxf>
      <fill>
        <patternFill>
          <bgColor theme="7"/>
        </patternFill>
      </fill>
    </dxf>
    <dxf>
      <fill>
        <patternFill>
          <bgColor theme="7"/>
        </patternFill>
      </fill>
    </dxf>
    <dxf>
      <fill>
        <patternFill>
          <bgColor theme="7"/>
        </patternFill>
      </fill>
    </dxf>
    <dxf>
      <fill>
        <patternFill>
          <bgColor rgb="FFDADAE6"/>
        </patternFill>
      </fill>
    </dxf>
    <dxf>
      <fill>
        <patternFill>
          <bgColor theme="7"/>
        </patternFill>
      </fill>
    </dxf>
    <dxf>
      <border>
        <right style="thin">
          <color theme="7"/>
        </right>
        <vertical/>
        <horizontal/>
      </border>
    </dxf>
    <dxf>
      <font>
        <b/>
        <i val="0"/>
        <color auto="1"/>
      </font>
      <fill>
        <patternFill>
          <bgColor rgb="FFFF0000"/>
        </patternFill>
      </fill>
    </dxf>
    <dxf>
      <fill>
        <patternFill>
          <bgColor theme="7"/>
        </patternFill>
      </fill>
    </dxf>
    <dxf>
      <fill>
        <patternFill>
          <bgColor theme="7"/>
        </patternFill>
      </fill>
    </dxf>
    <dxf>
      <font>
        <color theme="0"/>
      </font>
    </dxf>
    <dxf>
      <border>
        <right style="thin">
          <color theme="7"/>
        </right>
        <vertical/>
        <horizontal/>
      </border>
    </dxf>
    <dxf>
      <font>
        <b/>
        <i val="0"/>
        <color auto="1"/>
      </font>
      <fill>
        <patternFill>
          <bgColor theme="7"/>
        </patternFill>
      </fill>
      <border>
        <right style="thin">
          <color theme="7"/>
        </right>
      </border>
    </dxf>
    <dxf>
      <font>
        <b/>
        <i val="0"/>
        <color theme="1"/>
      </font>
    </dxf>
    <dxf>
      <font>
        <color theme="0"/>
      </font>
      <fill>
        <patternFill>
          <bgColor theme="0"/>
        </patternFill>
      </fill>
    </dxf>
    <dxf>
      <font>
        <color theme="0" tint="-4.9989318521683403E-2"/>
      </font>
    </dxf>
    <dxf>
      <font>
        <color theme="0" tint="-4.9989318521683403E-2"/>
      </font>
    </dxf>
    <dxf>
      <font>
        <b val="0"/>
        <i val="0"/>
        <color theme="0" tint="-4.9989318521683403E-2"/>
      </font>
    </dxf>
    <dxf>
      <font>
        <b val="0"/>
        <i val="0"/>
        <color theme="0" tint="-4.9989318521683403E-2"/>
      </font>
    </dxf>
    <dxf>
      <font>
        <color theme="0" tint="-4.9989318521683403E-2"/>
      </font>
    </dxf>
    <dxf>
      <font>
        <color theme="0" tint="-4.9989318521683403E-2"/>
      </font>
    </dxf>
    <dxf>
      <font>
        <color rgb="FFE3E3ED"/>
      </font>
    </dxf>
    <dxf>
      <border>
        <right style="thin">
          <color theme="7"/>
        </right>
        <vertical/>
        <horizontal/>
      </border>
    </dxf>
    <dxf>
      <font>
        <color theme="5" tint="-0.24994659260841701"/>
      </font>
    </dxf>
    <dxf>
      <font>
        <color theme="5" tint="-0.24994659260841701"/>
      </font>
    </dxf>
    <dxf>
      <font>
        <color theme="0"/>
      </font>
      <fill>
        <patternFill>
          <bgColor theme="0"/>
        </patternFill>
      </fill>
      <border>
        <left style="thin">
          <color theme="0" tint="-4.9989318521683403E-2"/>
        </left>
        <right style="thin">
          <color theme="0" tint="-4.9989318521683403E-2"/>
        </right>
        <bottom style="thin">
          <color theme="0" tint="-4.9989318521683403E-2"/>
        </bottom>
      </border>
    </dxf>
    <dxf>
      <font>
        <color theme="0"/>
      </font>
      <fill>
        <patternFill>
          <bgColor theme="0"/>
        </patternFill>
      </fill>
      <border>
        <left/>
        <right/>
        <top/>
        <bottom/>
      </border>
    </dxf>
    <dxf>
      <font>
        <b/>
        <i val="0"/>
        <color theme="7"/>
      </font>
    </dxf>
    <dxf>
      <font>
        <color theme="0"/>
      </font>
      <fill>
        <patternFill>
          <bgColor theme="0"/>
        </patternFill>
      </fill>
      <border>
        <left style="thin">
          <color theme="0" tint="-4.9989318521683403E-2"/>
        </left>
        <right style="thin">
          <color theme="0" tint="-4.9989318521683403E-2"/>
        </right>
        <bottom style="thin">
          <color theme="0" tint="-4.9989318521683403E-2"/>
        </bottom>
      </border>
    </dxf>
    <dxf>
      <font>
        <b/>
        <i val="0"/>
        <color theme="7"/>
      </font>
    </dxf>
    <dxf>
      <font>
        <color theme="0"/>
      </font>
    </dxf>
    <dxf>
      <font>
        <color theme="0"/>
      </font>
    </dxf>
    <dxf>
      <font>
        <b/>
        <i val="0"/>
        <color theme="7"/>
      </font>
    </dxf>
    <dxf>
      <font>
        <b/>
        <i val="0"/>
        <color theme="7"/>
      </font>
      <fill>
        <patternFill>
          <bgColor rgb="FF666699"/>
        </patternFill>
      </fill>
    </dxf>
    <dxf>
      <font>
        <color rgb="FF666699"/>
      </font>
      <fill>
        <patternFill>
          <bgColor rgb="FF666699"/>
        </patternFill>
      </fill>
    </dxf>
    <dxf>
      <font>
        <b/>
        <i val="0"/>
        <color theme="7"/>
      </font>
      <fill>
        <patternFill>
          <bgColor rgb="FF666699"/>
        </patternFill>
      </fill>
    </dxf>
    <dxf>
      <font>
        <color theme="0"/>
      </font>
      <fill>
        <patternFill>
          <bgColor theme="0"/>
        </patternFill>
      </fill>
      <border>
        <left style="thin">
          <color theme="0" tint="-4.9989318521683403E-2"/>
        </left>
        <right style="thin">
          <color theme="0" tint="-4.9989318521683403E-2"/>
        </right>
        <bottom style="thin">
          <color theme="0" tint="-4.9989318521683403E-2"/>
        </bottom>
      </border>
    </dxf>
    <dxf>
      <font>
        <color theme="0"/>
      </font>
    </dxf>
    <dxf>
      <font>
        <color theme="0"/>
      </font>
    </dxf>
    <dxf>
      <font>
        <b/>
        <i val="0"/>
        <color theme="7"/>
      </font>
      <fill>
        <patternFill>
          <bgColor rgb="FF666699"/>
        </patternFill>
      </fill>
      <border>
        <left style="thin">
          <color theme="0" tint="-4.9989318521683403E-2"/>
        </left>
        <right style="thin">
          <color theme="0" tint="-4.9989318521683403E-2"/>
        </right>
        <top/>
        <bottom style="thin">
          <color theme="0" tint="-4.9989318521683403E-2"/>
        </bottom>
      </border>
    </dxf>
    <dxf>
      <font>
        <color theme="0"/>
      </font>
      <fill>
        <patternFill>
          <bgColor theme="0"/>
        </patternFill>
      </fill>
      <border>
        <left/>
        <right/>
        <top/>
        <bottom/>
      </border>
    </dxf>
    <dxf>
      <fill>
        <patternFill>
          <bgColor theme="7"/>
        </patternFill>
      </fill>
    </dxf>
    <dxf>
      <fill>
        <patternFill>
          <bgColor theme="7"/>
        </patternFill>
      </fill>
    </dxf>
    <dxf>
      <border>
        <right style="thin">
          <color theme="7"/>
        </right>
        <vertical/>
        <horizontal/>
      </border>
    </dxf>
    <dxf>
      <fill>
        <patternFill>
          <bgColor theme="7"/>
        </patternFill>
      </fill>
    </dxf>
    <dxf>
      <fill>
        <patternFill>
          <bgColor theme="7"/>
        </patternFill>
      </fill>
    </dxf>
    <dxf>
      <fill>
        <patternFill>
          <bgColor theme="7"/>
        </patternFill>
      </fill>
    </dxf>
    <dxf>
      <border>
        <right style="thin">
          <color theme="7"/>
        </right>
        <vertical/>
        <horizontal/>
      </border>
    </dxf>
    <dxf>
      <fill>
        <patternFill>
          <bgColor theme="7"/>
        </patternFill>
      </fill>
    </dxf>
    <dxf>
      <font>
        <color theme="0"/>
      </font>
      <fill>
        <patternFill>
          <bgColor theme="0"/>
        </patternFill>
      </fill>
    </dxf>
    <dxf>
      <font>
        <color rgb="FF659B6F"/>
      </font>
    </dxf>
    <dxf>
      <font>
        <color rgb="FF659B6F"/>
      </font>
    </dxf>
    <dxf>
      <font>
        <color rgb="FF666699"/>
      </font>
    </dxf>
    <dxf>
      <font>
        <color rgb="FF666699"/>
      </font>
    </dxf>
    <dxf>
      <font>
        <color theme="0"/>
      </font>
      <fill>
        <patternFill>
          <bgColor theme="0"/>
        </patternFill>
      </fill>
      <border>
        <left/>
        <right/>
        <bottom/>
      </border>
    </dxf>
    <dxf>
      <font>
        <color theme="0"/>
      </font>
      <fill>
        <patternFill>
          <bgColor theme="0"/>
        </patternFill>
      </fill>
      <border>
        <left/>
        <right/>
        <bottom/>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border>
        <left/>
        <right/>
        <bottom/>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5" tint="-0.24994659260841701"/>
      </font>
    </dxf>
    <dxf>
      <fill>
        <patternFill>
          <bgColor theme="0"/>
        </patternFill>
      </fill>
    </dxf>
    <dxf>
      <font>
        <color theme="0"/>
      </font>
    </dxf>
    <dxf>
      <fill>
        <patternFill>
          <bgColor theme="0"/>
        </patternFill>
      </fill>
    </dxf>
    <dxf>
      <font>
        <color theme="0"/>
      </font>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border>
        <left style="thin">
          <color theme="0"/>
        </left>
        <right style="thin">
          <color theme="0"/>
        </right>
        <top style="thin">
          <color theme="0"/>
        </top>
        <bottom style="thin">
          <color theme="0"/>
        </bottom>
        <vertical/>
        <horizontal/>
      </border>
    </dxf>
    <dxf>
      <font>
        <color theme="0"/>
      </font>
    </dxf>
    <dxf>
      <font>
        <color theme="1"/>
      </font>
      <fill>
        <patternFill>
          <bgColor theme="7"/>
        </patternFill>
      </fill>
    </dxf>
    <dxf>
      <font>
        <color theme="0"/>
      </font>
      <fill>
        <patternFill>
          <bgColor theme="0"/>
        </patternFill>
      </fill>
    </dxf>
    <dxf>
      <font>
        <color theme="0"/>
      </font>
    </dxf>
    <dxf>
      <font>
        <color theme="7"/>
      </font>
    </dxf>
    <dxf>
      <font>
        <color theme="0"/>
      </font>
      <fill>
        <patternFill>
          <bgColor theme="0"/>
        </patternFill>
      </fill>
    </dxf>
    <dxf>
      <font>
        <color rgb="FFE3E3ED"/>
      </font>
    </dxf>
    <dxf>
      <fill>
        <patternFill>
          <bgColor theme="7"/>
        </patternFill>
      </fill>
    </dxf>
    <dxf>
      <font>
        <color theme="0"/>
      </font>
    </dxf>
    <dxf>
      <font>
        <color auto="1"/>
      </font>
      <fill>
        <patternFill>
          <bgColor theme="7"/>
        </patternFill>
      </fill>
    </dxf>
    <dxf>
      <font>
        <color theme="0"/>
      </font>
    </dxf>
    <dxf>
      <font>
        <color theme="0"/>
      </font>
    </dxf>
    <dxf>
      <font>
        <color theme="0"/>
      </font>
    </dxf>
    <dxf>
      <font>
        <color theme="0"/>
      </font>
    </dxf>
    <dxf>
      <font>
        <color theme="0" tint="-0.14996795556505021"/>
      </font>
      <fill>
        <patternFill>
          <bgColor theme="0"/>
        </patternFill>
      </fill>
    </dxf>
    <dxf>
      <font>
        <color theme="0" tint="-0.499984740745262"/>
      </font>
      <fill>
        <patternFill>
          <bgColor theme="7"/>
        </patternFill>
      </fill>
    </dxf>
    <dxf>
      <font>
        <color rgb="FFE3E3ED"/>
      </font>
    </dxf>
    <dxf>
      <fill>
        <patternFill>
          <bgColor theme="7"/>
        </patternFill>
      </fill>
    </dxf>
    <dxf>
      <fill>
        <patternFill>
          <bgColor theme="7"/>
        </patternFill>
      </fill>
    </dxf>
    <dxf>
      <fill>
        <patternFill>
          <bgColor theme="7"/>
        </patternFill>
      </fill>
    </dxf>
    <dxf>
      <font>
        <color rgb="FFE3E3ED"/>
      </font>
    </dxf>
    <dxf>
      <font>
        <color theme="1" tint="0.499984740745262"/>
      </font>
      <fill>
        <patternFill>
          <bgColor theme="7"/>
        </patternFill>
      </fill>
    </dxf>
    <dxf>
      <font>
        <color theme="0"/>
      </font>
    </dxf>
    <dxf>
      <font>
        <color theme="0"/>
      </font>
    </dxf>
    <dxf>
      <font>
        <color theme="0"/>
      </font>
    </dxf>
    <dxf>
      <font>
        <color theme="0"/>
      </font>
    </dxf>
    <dxf>
      <font>
        <color theme="0"/>
      </font>
    </dxf>
    <dxf>
      <font>
        <color theme="0"/>
      </font>
    </dxf>
    <dxf>
      <fill>
        <patternFill>
          <bgColor theme="7"/>
        </patternFill>
      </fill>
    </dxf>
    <dxf>
      <font>
        <color rgb="FFE3E3ED"/>
      </font>
    </dxf>
    <dxf>
      <font>
        <color theme="0"/>
      </font>
    </dxf>
    <dxf>
      <font>
        <color theme="0"/>
      </font>
    </dxf>
    <dxf>
      <font>
        <color theme="0"/>
      </font>
    </dxf>
    <dxf>
      <font>
        <color theme="0"/>
      </font>
    </dxf>
    <dxf>
      <font>
        <b val="0"/>
        <i val="0"/>
        <color theme="0" tint="-0.499984740745262"/>
      </font>
      <fill>
        <patternFill>
          <bgColor theme="0"/>
        </patternFill>
      </fill>
    </dxf>
    <dxf>
      <fill>
        <patternFill>
          <bgColor theme="7"/>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rgb="FF666699"/>
      </font>
      <fill>
        <patternFill>
          <bgColor rgb="FFFFC000"/>
        </patternFill>
      </fill>
    </dxf>
    <dxf>
      <font>
        <color theme="0"/>
      </font>
    </dxf>
    <dxf>
      <font>
        <color theme="0"/>
      </font>
    </dxf>
    <dxf>
      <font>
        <color theme="0"/>
      </font>
    </dxf>
    <dxf>
      <fill>
        <patternFill>
          <bgColor theme="7"/>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b/>
        <i val="0"/>
        <color rgb="FFC00000"/>
      </font>
    </dxf>
    <dxf>
      <font>
        <b/>
        <i val="0"/>
        <color rgb="FFC00000"/>
      </font>
    </dxf>
    <dxf>
      <font>
        <color theme="0"/>
      </font>
    </dxf>
    <dxf>
      <font>
        <b/>
        <i val="0"/>
        <color rgb="FFC00000"/>
      </font>
    </dxf>
    <dxf>
      <font>
        <b/>
        <i val="0"/>
        <color rgb="FFC00000"/>
      </font>
    </dxf>
    <dxf>
      <font>
        <color theme="0" tint="-0.3499862666707357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E3E3ED"/>
      </font>
    </dxf>
    <dxf>
      <font>
        <color theme="0"/>
      </font>
      <fill>
        <patternFill>
          <bgColor theme="0"/>
        </patternFill>
      </fill>
    </dxf>
    <dxf>
      <fill>
        <patternFill>
          <bgColor theme="7"/>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E3E3ED"/>
      </font>
    </dxf>
    <dxf>
      <fill>
        <patternFill>
          <bgColor theme="7"/>
        </patternFill>
      </fill>
    </dxf>
    <dxf>
      <font>
        <color theme="0"/>
      </font>
      <fill>
        <patternFill>
          <bgColor theme="0"/>
        </patternFill>
      </fill>
    </dxf>
    <dxf>
      <font>
        <color rgb="FFE3E3ED"/>
      </font>
    </dxf>
    <dxf>
      <font>
        <color theme="0"/>
      </font>
      <fill>
        <patternFill>
          <bgColor theme="0"/>
        </patternFill>
      </fill>
    </dxf>
    <dxf>
      <font>
        <color rgb="FFE3E3ED"/>
      </font>
    </dxf>
    <dxf>
      <fill>
        <patternFill>
          <bgColor theme="7"/>
        </patternFill>
      </fill>
    </dxf>
    <dxf>
      <fill>
        <patternFill>
          <bgColor theme="7"/>
        </patternFill>
      </fill>
    </dxf>
    <dxf>
      <font>
        <color rgb="FFE3E3ED"/>
      </font>
    </dxf>
    <dxf>
      <font>
        <color theme="0"/>
      </font>
      <fill>
        <patternFill>
          <bgColor theme="0"/>
        </patternFill>
      </fill>
    </dxf>
    <dxf>
      <font>
        <color theme="0"/>
      </font>
      <fill>
        <patternFill>
          <bgColor theme="0"/>
        </patternFill>
      </fill>
    </dxf>
    <dxf>
      <font>
        <color rgb="FFE3E3ED"/>
      </font>
    </dxf>
    <dxf>
      <fill>
        <patternFill>
          <bgColor theme="7"/>
        </patternFill>
      </fill>
    </dxf>
    <dxf>
      <font>
        <color theme="0"/>
      </font>
    </dxf>
    <dxf>
      <fill>
        <patternFill>
          <bgColor rgb="FFFFC000"/>
        </patternFill>
      </fill>
    </dxf>
    <dxf>
      <font>
        <color theme="0"/>
      </font>
      <fill>
        <patternFill>
          <bgColor theme="0"/>
        </patternFill>
      </fill>
    </dxf>
    <dxf>
      <font>
        <color rgb="FFE3E3ED"/>
      </font>
    </dxf>
    <dxf>
      <font>
        <color theme="0"/>
      </font>
      <fill>
        <patternFill>
          <bgColor theme="0"/>
        </patternFill>
      </fill>
    </dxf>
    <dxf>
      <font>
        <color rgb="FFE3E3ED"/>
      </font>
    </dxf>
    <dxf>
      <fill>
        <patternFill>
          <bgColor theme="7"/>
        </patternFill>
      </fill>
    </dxf>
    <dxf>
      <font>
        <color theme="0"/>
      </font>
    </dxf>
    <dxf>
      <font>
        <color rgb="FFE3E3ED"/>
      </font>
    </dxf>
    <dxf>
      <fill>
        <patternFill>
          <bgColor theme="7"/>
        </patternFill>
      </fill>
    </dxf>
    <dxf>
      <fill>
        <patternFill>
          <bgColor theme="0"/>
        </patternFill>
      </fill>
    </dxf>
    <dxf>
      <font>
        <color theme="0"/>
      </font>
      <fill>
        <patternFill>
          <bgColor theme="0"/>
        </patternFill>
      </fill>
    </dxf>
    <dxf>
      <fill>
        <patternFill>
          <bgColor rgb="FFFFC000"/>
        </patternFill>
      </fill>
    </dxf>
    <dxf>
      <font>
        <color rgb="FFE3E3ED"/>
      </font>
    </dxf>
    <dxf>
      <font>
        <color theme="0"/>
      </font>
    </dxf>
    <dxf>
      <font>
        <color rgb="FFE3E3ED"/>
      </font>
    </dxf>
    <dxf>
      <fill>
        <patternFill>
          <bgColor theme="7"/>
        </patternFill>
      </fill>
    </dxf>
    <dxf>
      <font>
        <color theme="0"/>
      </font>
      <fill>
        <patternFill>
          <bgColor theme="0"/>
        </patternFill>
      </fill>
    </dxf>
    <dxf>
      <font>
        <color rgb="FFE3E3ED"/>
      </font>
    </dxf>
    <dxf>
      <font>
        <color theme="0"/>
      </font>
      <fill>
        <patternFill>
          <bgColor theme="0"/>
        </patternFill>
      </fill>
    </dxf>
    <dxf>
      <fill>
        <patternFill>
          <bgColor theme="7"/>
        </patternFill>
      </fill>
    </dxf>
    <dxf>
      <font>
        <color rgb="FFE3E3ED"/>
      </font>
    </dxf>
    <dxf>
      <font>
        <color theme="0"/>
      </font>
    </dxf>
    <dxf>
      <font>
        <color theme="0"/>
      </font>
    </dxf>
    <dxf>
      <font>
        <color theme="0"/>
      </font>
    </dxf>
    <dxf>
      <font>
        <color rgb="FFE3E3ED"/>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7"/>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0"/>
        </patternFill>
      </fill>
    </dxf>
    <dxf>
      <font>
        <color theme="0"/>
      </font>
    </dxf>
    <dxf>
      <font>
        <color auto="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border>
        <left style="thin">
          <color theme="0"/>
        </left>
        <right style="thin">
          <color theme="0"/>
        </right>
        <top style="thin">
          <color theme="0"/>
        </top>
        <bottom style="thin">
          <color theme="0"/>
        </bottom>
        <vertical/>
        <horizontal/>
      </border>
    </dxf>
    <dxf>
      <font>
        <color theme="0"/>
      </font>
    </dxf>
    <dxf>
      <font>
        <color theme="0"/>
      </font>
      <fill>
        <patternFill>
          <bgColor theme="0"/>
        </patternFill>
      </fill>
    </dxf>
    <dxf>
      <font>
        <color theme="0"/>
      </font>
    </dxf>
    <dxf>
      <font>
        <color theme="7"/>
      </font>
    </dxf>
    <dxf>
      <font>
        <color theme="1"/>
      </font>
      <fill>
        <patternFill>
          <bgColor theme="7"/>
        </patternFill>
      </fill>
    </dxf>
    <dxf>
      <font>
        <color theme="0"/>
      </font>
    </dxf>
    <dxf>
      <font>
        <color rgb="FFE3E3ED"/>
      </font>
    </dxf>
    <dxf>
      <font>
        <color theme="0"/>
      </font>
      <fill>
        <patternFill>
          <bgColor theme="0"/>
        </patternFill>
      </fill>
    </dxf>
    <dxf>
      <fill>
        <patternFill>
          <bgColor theme="7"/>
        </patternFill>
      </fill>
    </dxf>
    <dxf>
      <font>
        <color auto="1"/>
      </font>
      <fill>
        <patternFill>
          <bgColor theme="7"/>
        </patternFill>
      </fill>
    </dxf>
    <dxf>
      <font>
        <color theme="0"/>
      </font>
    </dxf>
    <dxf>
      <font>
        <color theme="0"/>
      </font>
    </dxf>
    <dxf>
      <font>
        <color theme="0"/>
      </font>
    </dxf>
    <dxf>
      <font>
        <color theme="0"/>
      </font>
    </dxf>
    <dxf>
      <font>
        <color theme="0" tint="-0.14996795556505021"/>
      </font>
      <fill>
        <patternFill>
          <bgColor theme="0"/>
        </patternFill>
      </fill>
    </dxf>
    <dxf>
      <font>
        <color theme="0" tint="-0.499984740745262"/>
      </font>
      <fill>
        <patternFill>
          <bgColor theme="7"/>
        </patternFill>
      </fill>
    </dxf>
    <dxf>
      <font>
        <color rgb="FFE3E3ED"/>
      </font>
    </dxf>
    <dxf>
      <fill>
        <patternFill>
          <bgColor theme="7"/>
        </patternFill>
      </fill>
    </dxf>
    <dxf>
      <fill>
        <patternFill>
          <bgColor theme="7"/>
        </patternFill>
      </fill>
    </dxf>
    <dxf>
      <fill>
        <patternFill>
          <bgColor theme="7"/>
        </patternFill>
      </fill>
    </dxf>
    <dxf>
      <font>
        <color rgb="FFE3E3ED"/>
      </font>
    </dxf>
    <dxf>
      <font>
        <color theme="0"/>
      </font>
    </dxf>
    <dxf>
      <font>
        <color theme="1" tint="0.499984740745262"/>
      </font>
      <fill>
        <patternFill>
          <bgColor theme="7"/>
        </patternFill>
      </fill>
    </dxf>
    <dxf>
      <font>
        <color theme="0"/>
      </font>
    </dxf>
    <dxf>
      <font>
        <color theme="0"/>
      </font>
    </dxf>
    <dxf>
      <font>
        <color theme="0"/>
      </font>
    </dxf>
    <dxf>
      <font>
        <color theme="0"/>
      </font>
    </dxf>
    <dxf>
      <font>
        <color theme="0"/>
      </font>
    </dxf>
    <dxf>
      <font>
        <color rgb="FFE3E3ED"/>
      </font>
    </dxf>
    <dxf>
      <fill>
        <patternFill>
          <bgColor theme="7"/>
        </patternFill>
      </fill>
    </dxf>
    <dxf>
      <font>
        <color theme="0"/>
      </font>
    </dxf>
    <dxf>
      <font>
        <color theme="0"/>
      </font>
    </dxf>
    <dxf>
      <font>
        <color theme="0"/>
      </font>
    </dxf>
    <dxf>
      <font>
        <color theme="0"/>
      </font>
    </dxf>
    <dxf>
      <fill>
        <patternFill>
          <bgColor theme="7"/>
        </patternFill>
      </fill>
    </dxf>
    <dxf>
      <font>
        <b val="0"/>
        <i val="0"/>
        <color theme="0" tint="-0.499984740745262"/>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rgb="FF666699"/>
      </font>
      <fill>
        <patternFill>
          <bgColor rgb="FFFFC000"/>
        </patternFill>
      </fill>
    </dxf>
    <dxf>
      <font>
        <color theme="0"/>
      </font>
    </dxf>
    <dxf>
      <font>
        <color theme="0"/>
      </font>
    </dxf>
    <dxf>
      <font>
        <color theme="0"/>
      </font>
    </dxf>
    <dxf>
      <fill>
        <patternFill>
          <bgColor theme="7"/>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7"/>
        </patternFill>
      </fill>
    </dxf>
    <dxf>
      <font>
        <color theme="0"/>
      </font>
    </dxf>
    <dxf>
      <font>
        <color theme="0"/>
      </font>
    </dxf>
    <dxf>
      <font>
        <color theme="0"/>
      </font>
    </dxf>
    <dxf>
      <font>
        <b/>
        <i val="0"/>
        <color rgb="FFC00000"/>
      </font>
    </dxf>
    <dxf>
      <font>
        <b/>
        <i val="0"/>
        <color rgb="FFC00000"/>
      </font>
    </dxf>
    <dxf>
      <font>
        <color theme="0"/>
      </font>
    </dxf>
    <dxf>
      <font>
        <b/>
        <i val="0"/>
        <color rgb="FFC00000"/>
      </font>
    </dxf>
    <dxf>
      <font>
        <b/>
        <i val="0"/>
        <color rgb="FFC00000"/>
      </font>
    </dxf>
    <dxf>
      <font>
        <color theme="0" tint="-0.3499862666707357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rgb="FFE3E3ED"/>
      </font>
    </dxf>
    <dxf>
      <fill>
        <patternFill>
          <bgColor theme="7"/>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E3E3ED"/>
      </font>
    </dxf>
    <dxf>
      <font>
        <color theme="0"/>
      </font>
      <fill>
        <patternFill>
          <bgColor theme="0"/>
        </patternFill>
      </fill>
    </dxf>
    <dxf>
      <font>
        <color rgb="FFE3E3ED"/>
      </font>
    </dxf>
    <dxf>
      <fill>
        <patternFill>
          <bgColor theme="7"/>
        </patternFill>
      </fill>
    </dxf>
    <dxf>
      <fill>
        <patternFill>
          <bgColor theme="7"/>
        </patternFill>
      </fill>
    </dxf>
    <dxf>
      <font>
        <color rgb="FFE3E3ED"/>
      </font>
    </dxf>
    <dxf>
      <font>
        <color theme="0"/>
      </font>
      <fill>
        <patternFill>
          <bgColor theme="0"/>
        </patternFill>
      </fill>
    </dxf>
    <dxf>
      <fill>
        <patternFill>
          <bgColor theme="7"/>
        </patternFill>
      </fill>
    </dxf>
    <dxf>
      <font>
        <color theme="0"/>
      </font>
      <fill>
        <patternFill>
          <bgColor theme="0"/>
        </patternFill>
      </fill>
    </dxf>
    <dxf>
      <font>
        <color rgb="FFE3E3ED"/>
      </font>
    </dxf>
    <dxf>
      <font>
        <color theme="0"/>
      </font>
      <fill>
        <patternFill>
          <bgColor theme="0"/>
        </patternFill>
      </fill>
    </dxf>
    <dxf>
      <font>
        <color rgb="FFE3E3ED"/>
      </font>
    </dxf>
    <dxf>
      <fill>
        <patternFill>
          <bgColor theme="7"/>
        </patternFill>
      </fill>
    </dxf>
    <dxf>
      <font>
        <color theme="0"/>
      </font>
    </dxf>
    <dxf>
      <font>
        <color rgb="FFE3E3ED"/>
      </font>
    </dxf>
    <dxf>
      <fill>
        <patternFill>
          <bgColor rgb="FFFFC000"/>
        </patternFill>
      </fill>
    </dxf>
    <dxf>
      <font>
        <color theme="0"/>
      </font>
      <fill>
        <patternFill>
          <bgColor theme="0"/>
        </patternFill>
      </fill>
    </dxf>
    <dxf>
      <font>
        <color theme="0"/>
      </font>
      <fill>
        <patternFill>
          <bgColor theme="0"/>
        </patternFill>
      </fill>
    </dxf>
    <dxf>
      <font>
        <color rgb="FFE3E3ED"/>
      </font>
    </dxf>
    <dxf>
      <fill>
        <patternFill>
          <bgColor theme="7"/>
        </patternFill>
      </fill>
    </dxf>
    <dxf>
      <fill>
        <patternFill>
          <bgColor theme="0"/>
        </patternFill>
      </fill>
    </dxf>
    <dxf>
      <font>
        <color theme="0"/>
      </font>
    </dxf>
    <dxf>
      <font>
        <color rgb="FFE3E3ED"/>
      </font>
    </dxf>
    <dxf>
      <fill>
        <patternFill>
          <bgColor theme="7"/>
        </patternFill>
      </fill>
    </dxf>
    <dxf>
      <fill>
        <patternFill>
          <bgColor rgb="FFFFC000"/>
        </patternFill>
      </fill>
    </dxf>
    <dxf>
      <font>
        <color theme="0"/>
      </font>
      <fill>
        <patternFill>
          <bgColor theme="0"/>
        </patternFill>
      </fill>
    </dxf>
    <dxf>
      <font>
        <color rgb="FFE3E3ED"/>
      </font>
    </dxf>
    <dxf>
      <font>
        <color theme="0"/>
      </font>
    </dxf>
    <dxf>
      <font>
        <color rgb="FFE3E3ED"/>
      </font>
    </dxf>
    <dxf>
      <fill>
        <patternFill>
          <bgColor theme="7"/>
        </patternFill>
      </fill>
    </dxf>
    <dxf>
      <font>
        <color theme="0"/>
      </font>
      <fill>
        <patternFill>
          <bgColor theme="0"/>
        </patternFill>
      </fill>
    </dxf>
    <dxf>
      <font>
        <color rgb="FFE3E3ED"/>
      </font>
    </dxf>
    <dxf>
      <font>
        <color theme="0"/>
      </font>
      <fill>
        <patternFill>
          <bgColor theme="0"/>
        </patternFill>
      </fill>
    </dxf>
    <dxf>
      <fill>
        <patternFill>
          <bgColor theme="7"/>
        </patternFill>
      </fill>
    </dxf>
    <dxf>
      <font>
        <color rgb="FFE3E3ED"/>
      </font>
    </dxf>
    <dxf>
      <font>
        <color theme="0"/>
      </font>
    </dxf>
    <dxf>
      <font>
        <color theme="0"/>
      </font>
    </dxf>
    <dxf>
      <font>
        <color theme="0"/>
      </font>
    </dxf>
    <dxf>
      <font>
        <color rgb="FFE3E3ED"/>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7"/>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0"/>
        </patternFill>
      </fill>
    </dxf>
    <dxf>
      <font>
        <color theme="0"/>
      </font>
    </dxf>
    <dxf>
      <fill>
        <patternFill>
          <bgColor theme="0"/>
        </patternFill>
      </fill>
    </dxf>
    <dxf>
      <font>
        <color theme="0"/>
      </font>
    </dxf>
    <dxf>
      <font>
        <color auto="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s>
  <tableStyles count="0" defaultTableStyle="TableStyleMedium2" defaultPivotStyle="PivotStyleLight16"/>
  <colors>
    <mruColors>
      <color rgb="FF589B58"/>
      <color rgb="FF659B6F"/>
      <color rgb="FF666699"/>
      <color rgb="FFE3E3ED"/>
      <color rgb="FFFFECAF"/>
      <color rgb="FFDADAE6"/>
      <color rgb="FFD7E5DA"/>
      <color rgb="FFC7DBCB"/>
      <color rgb="FFFFFFFF"/>
      <color rgb="FFD5D5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indraminsait.usoindustria.org/" TargetMode="Externa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indraminsait.usoindustria.org/" TargetMode="Externa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ndraminsait.usoindustria.org/"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indraminsait.usoindustria.org/"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1000127</xdr:colOff>
      <xdr:row>0</xdr:row>
      <xdr:rowOff>3174</xdr:rowOff>
    </xdr:from>
    <xdr:to>
      <xdr:col>10</xdr:col>
      <xdr:colOff>40578</xdr:colOff>
      <xdr:row>1</xdr:row>
      <xdr:rowOff>331224</xdr:rowOff>
    </xdr:to>
    <xdr:pic>
      <xdr:nvPicPr>
        <xdr:cNvPr id="4" name="Imagen 3">
          <a:hlinkClick xmlns:r="http://schemas.openxmlformats.org/officeDocument/2006/relationships" r:id="rId1"/>
          <a:extLst>
            <a:ext uri="{FF2B5EF4-FFF2-40B4-BE49-F238E27FC236}">
              <a16:creationId xmlns:a16="http://schemas.microsoft.com/office/drawing/2014/main" id="{AD058823-6BC8-2F1E-F270-659E47A88D7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53202" y="3174"/>
          <a:ext cx="1078801" cy="832875"/>
        </a:xfrm>
        <a:prstGeom prst="rect">
          <a:avLst/>
        </a:prstGeom>
      </xdr:spPr>
    </xdr:pic>
    <xdr:clientData/>
  </xdr:twoCellAnchor>
  <xdr:twoCellAnchor editAs="oneCell">
    <xdr:from>
      <xdr:col>23</xdr:col>
      <xdr:colOff>990601</xdr:colOff>
      <xdr:row>0</xdr:row>
      <xdr:rowOff>3174</xdr:rowOff>
    </xdr:from>
    <xdr:to>
      <xdr:col>25</xdr:col>
      <xdr:colOff>30315</xdr:colOff>
      <xdr:row>1</xdr:row>
      <xdr:rowOff>343924</xdr:rowOff>
    </xdr:to>
    <xdr:pic>
      <xdr:nvPicPr>
        <xdr:cNvPr id="5" name="Imagen 4">
          <a:hlinkClick xmlns:r="http://schemas.openxmlformats.org/officeDocument/2006/relationships" r:id="rId1"/>
          <a:extLst>
            <a:ext uri="{FF2B5EF4-FFF2-40B4-BE49-F238E27FC236}">
              <a16:creationId xmlns:a16="http://schemas.microsoft.com/office/drawing/2014/main" id="{277563E5-7376-48C5-AC5B-808AEDFDD8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40001" y="3174"/>
          <a:ext cx="1074889" cy="845575"/>
        </a:xfrm>
        <a:prstGeom prst="rect">
          <a:avLst/>
        </a:prstGeom>
      </xdr:spPr>
    </xdr:pic>
    <xdr:clientData/>
  </xdr:twoCellAnchor>
  <xdr:twoCellAnchor editAs="oneCell">
    <xdr:from>
      <xdr:col>2</xdr:col>
      <xdr:colOff>25400</xdr:colOff>
      <xdr:row>0</xdr:row>
      <xdr:rowOff>1</xdr:rowOff>
    </xdr:from>
    <xdr:to>
      <xdr:col>4</xdr:col>
      <xdr:colOff>38671</xdr:colOff>
      <xdr:row>1</xdr:row>
      <xdr:rowOff>333376</xdr:rowOff>
    </xdr:to>
    <xdr:pic>
      <xdr:nvPicPr>
        <xdr:cNvPr id="7" name="Imagen 6">
          <a:hlinkClick xmlns:r="http://schemas.openxmlformats.org/officeDocument/2006/relationships" r:id="rId1"/>
          <a:extLst>
            <a:ext uri="{FF2B5EF4-FFF2-40B4-BE49-F238E27FC236}">
              <a16:creationId xmlns:a16="http://schemas.microsoft.com/office/drawing/2014/main" id="{C768FDF3-A365-8B8F-A439-2B7147B32F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8775" y="1"/>
          <a:ext cx="1076896" cy="838200"/>
        </a:xfrm>
        <a:prstGeom prst="rect">
          <a:avLst/>
        </a:prstGeom>
      </xdr:spPr>
    </xdr:pic>
    <xdr:clientData/>
  </xdr:twoCellAnchor>
  <xdr:twoCellAnchor editAs="oneCell">
    <xdr:from>
      <xdr:col>16</xdr:col>
      <xdr:colOff>82550</xdr:colOff>
      <xdr:row>0</xdr:row>
      <xdr:rowOff>0</xdr:rowOff>
    </xdr:from>
    <xdr:to>
      <xdr:col>19</xdr:col>
      <xdr:colOff>10096</xdr:colOff>
      <xdr:row>1</xdr:row>
      <xdr:rowOff>342900</xdr:rowOff>
    </xdr:to>
    <xdr:pic>
      <xdr:nvPicPr>
        <xdr:cNvPr id="28" name="Imagen 27">
          <a:hlinkClick xmlns:r="http://schemas.openxmlformats.org/officeDocument/2006/relationships" r:id="rId1"/>
          <a:extLst>
            <a:ext uri="{FF2B5EF4-FFF2-40B4-BE49-F238E27FC236}">
              <a16:creationId xmlns:a16="http://schemas.microsoft.com/office/drawing/2014/main" id="{017F5DFC-EA3F-48E4-978E-274F388ECA8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083675" y="0"/>
          <a:ext cx="1076896" cy="847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996952</xdr:colOff>
      <xdr:row>0</xdr:row>
      <xdr:rowOff>3174</xdr:rowOff>
    </xdr:from>
    <xdr:to>
      <xdr:col>10</xdr:col>
      <xdr:colOff>37403</xdr:colOff>
      <xdr:row>2</xdr:row>
      <xdr:rowOff>0</xdr:rowOff>
    </xdr:to>
    <xdr:pic>
      <xdr:nvPicPr>
        <xdr:cNvPr id="2" name="Imagen 1">
          <a:hlinkClick xmlns:r="http://schemas.openxmlformats.org/officeDocument/2006/relationships" r:id="rId1"/>
          <a:extLst>
            <a:ext uri="{FF2B5EF4-FFF2-40B4-BE49-F238E27FC236}">
              <a16:creationId xmlns:a16="http://schemas.microsoft.com/office/drawing/2014/main" id="{5690F150-C848-47F3-8DB9-C5AD1591DF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2877" y="3174"/>
          <a:ext cx="1078801" cy="854076"/>
        </a:xfrm>
        <a:prstGeom prst="rect">
          <a:avLst/>
        </a:prstGeom>
      </xdr:spPr>
    </xdr:pic>
    <xdr:clientData/>
  </xdr:twoCellAnchor>
  <xdr:twoCellAnchor editAs="oneCell">
    <xdr:from>
      <xdr:col>23</xdr:col>
      <xdr:colOff>990601</xdr:colOff>
      <xdr:row>0</xdr:row>
      <xdr:rowOff>3174</xdr:rowOff>
    </xdr:from>
    <xdr:to>
      <xdr:col>25</xdr:col>
      <xdr:colOff>27140</xdr:colOff>
      <xdr:row>2</xdr:row>
      <xdr:rowOff>0</xdr:rowOff>
    </xdr:to>
    <xdr:pic>
      <xdr:nvPicPr>
        <xdr:cNvPr id="3" name="Imagen 2">
          <a:hlinkClick xmlns:r="http://schemas.openxmlformats.org/officeDocument/2006/relationships" r:id="rId1"/>
          <a:extLst>
            <a:ext uri="{FF2B5EF4-FFF2-40B4-BE49-F238E27FC236}">
              <a16:creationId xmlns:a16="http://schemas.microsoft.com/office/drawing/2014/main" id="{B9DBEB4F-DD88-4F59-9632-A0C9C4B45AB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116176" y="3174"/>
          <a:ext cx="1078064" cy="854076"/>
        </a:xfrm>
        <a:prstGeom prst="rect">
          <a:avLst/>
        </a:prstGeom>
      </xdr:spPr>
    </xdr:pic>
    <xdr:clientData/>
  </xdr:twoCellAnchor>
  <xdr:twoCellAnchor editAs="oneCell">
    <xdr:from>
      <xdr:col>2</xdr:col>
      <xdr:colOff>28575</xdr:colOff>
      <xdr:row>0</xdr:row>
      <xdr:rowOff>1</xdr:rowOff>
    </xdr:from>
    <xdr:to>
      <xdr:col>4</xdr:col>
      <xdr:colOff>38671</xdr:colOff>
      <xdr:row>2</xdr:row>
      <xdr:rowOff>0</xdr:rowOff>
    </xdr:to>
    <xdr:pic>
      <xdr:nvPicPr>
        <xdr:cNvPr id="4" name="Imagen 3">
          <a:hlinkClick xmlns:r="http://schemas.openxmlformats.org/officeDocument/2006/relationships" r:id="rId1"/>
          <a:extLst>
            <a:ext uri="{FF2B5EF4-FFF2-40B4-BE49-F238E27FC236}">
              <a16:creationId xmlns:a16="http://schemas.microsoft.com/office/drawing/2014/main" id="{D2EB7E2B-945E-460D-ABE4-E7A3D0B19D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 y="1"/>
          <a:ext cx="1076896" cy="857249"/>
        </a:xfrm>
        <a:prstGeom prst="rect">
          <a:avLst/>
        </a:prstGeom>
      </xdr:spPr>
    </xdr:pic>
    <xdr:clientData/>
  </xdr:twoCellAnchor>
  <xdr:twoCellAnchor editAs="oneCell">
    <xdr:from>
      <xdr:col>17</xdr:col>
      <xdr:colOff>0</xdr:colOff>
      <xdr:row>0</xdr:row>
      <xdr:rowOff>0</xdr:rowOff>
    </xdr:from>
    <xdr:to>
      <xdr:col>19</xdr:col>
      <xdr:colOff>10096</xdr:colOff>
      <xdr:row>1</xdr:row>
      <xdr:rowOff>342900</xdr:rowOff>
    </xdr:to>
    <xdr:pic>
      <xdr:nvPicPr>
        <xdr:cNvPr id="5" name="Imagen 4">
          <a:hlinkClick xmlns:r="http://schemas.openxmlformats.org/officeDocument/2006/relationships" r:id="rId1"/>
          <a:extLst>
            <a:ext uri="{FF2B5EF4-FFF2-40B4-BE49-F238E27FC236}">
              <a16:creationId xmlns:a16="http://schemas.microsoft.com/office/drawing/2014/main" id="{9CA01A38-662F-45D6-ABFC-16DB8937A23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982075" y="0"/>
          <a:ext cx="1073721" cy="847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149229</xdr:colOff>
      <xdr:row>0</xdr:row>
      <xdr:rowOff>28578</xdr:rowOff>
    </xdr:from>
    <xdr:to>
      <xdr:col>14</xdr:col>
      <xdr:colOff>542534</xdr:colOff>
      <xdr:row>19</xdr:row>
      <xdr:rowOff>18528</xdr:rowOff>
    </xdr:to>
    <xdr:pic>
      <xdr:nvPicPr>
        <xdr:cNvPr id="15" name="Imagen 14">
          <a:hlinkClick xmlns:r="http://schemas.openxmlformats.org/officeDocument/2006/relationships" r:id="rId1"/>
          <a:extLst>
            <a:ext uri="{FF2B5EF4-FFF2-40B4-BE49-F238E27FC236}">
              <a16:creationId xmlns:a16="http://schemas.microsoft.com/office/drawing/2014/main" id="{3454E9CD-BB4B-463E-892B-310F0A6122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50879" y="28578"/>
          <a:ext cx="1491855" cy="1152000"/>
        </a:xfrm>
        <a:prstGeom prst="rect">
          <a:avLst/>
        </a:prstGeom>
      </xdr:spPr>
    </xdr:pic>
    <xdr:clientData/>
  </xdr:twoCellAnchor>
  <xdr:twoCellAnchor editAs="oneCell">
    <xdr:from>
      <xdr:col>1</xdr:col>
      <xdr:colOff>292102</xdr:colOff>
      <xdr:row>0</xdr:row>
      <xdr:rowOff>28575</xdr:rowOff>
    </xdr:from>
    <xdr:to>
      <xdr:col>2</xdr:col>
      <xdr:colOff>553393</xdr:colOff>
      <xdr:row>19</xdr:row>
      <xdr:rowOff>18525</xdr:rowOff>
    </xdr:to>
    <xdr:pic>
      <xdr:nvPicPr>
        <xdr:cNvPr id="16" name="Imagen 15">
          <a:hlinkClick xmlns:r="http://schemas.openxmlformats.org/officeDocument/2006/relationships" r:id="rId1"/>
          <a:extLst>
            <a:ext uri="{FF2B5EF4-FFF2-40B4-BE49-F238E27FC236}">
              <a16:creationId xmlns:a16="http://schemas.microsoft.com/office/drawing/2014/main" id="{E19234CB-343F-4461-B1B5-6A707E157D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7852" y="28575"/>
          <a:ext cx="1470966" cy="1152000"/>
        </a:xfrm>
        <a:prstGeom prst="rect">
          <a:avLst/>
        </a:prstGeom>
      </xdr:spPr>
    </xdr:pic>
    <xdr:clientData/>
  </xdr:twoCellAnchor>
  <xdr:twoCellAnchor>
    <xdr:from>
      <xdr:col>7</xdr:col>
      <xdr:colOff>1066801</xdr:colOff>
      <xdr:row>17</xdr:row>
      <xdr:rowOff>95248</xdr:rowOff>
    </xdr:from>
    <xdr:to>
      <xdr:col>12</xdr:col>
      <xdr:colOff>6351</xdr:colOff>
      <xdr:row>18</xdr:row>
      <xdr:rowOff>171449</xdr:rowOff>
    </xdr:to>
    <xdr:cxnSp macro="">
      <xdr:nvCxnSpPr>
        <xdr:cNvPr id="3" name="Conector: angular 2">
          <a:extLst>
            <a:ext uri="{FF2B5EF4-FFF2-40B4-BE49-F238E27FC236}">
              <a16:creationId xmlns:a16="http://schemas.microsoft.com/office/drawing/2014/main" id="{D6A1ADC3-B04E-4347-F30F-359BBD16F92C}"/>
            </a:ext>
          </a:extLst>
        </xdr:cNvPr>
        <xdr:cNvCxnSpPr/>
      </xdr:nvCxnSpPr>
      <xdr:spPr>
        <a:xfrm rot="10800000" flipV="1">
          <a:off x="8048626" y="752473"/>
          <a:ext cx="4416425" cy="266701"/>
        </a:xfrm>
        <a:prstGeom prst="bentConnector3">
          <a:avLst>
            <a:gd name="adj1" fmla="val -4310"/>
          </a:avLst>
        </a:prstGeom>
        <a:ln w="25400">
          <a:solidFill>
            <a:srgbClr val="659B6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606425</xdr:colOff>
      <xdr:row>0</xdr:row>
      <xdr:rowOff>0</xdr:rowOff>
    </xdr:from>
    <xdr:to>
      <xdr:col>29</xdr:col>
      <xdr:colOff>2476</xdr:colOff>
      <xdr:row>2</xdr:row>
      <xdr:rowOff>182000</xdr:rowOff>
    </xdr:to>
    <xdr:pic>
      <xdr:nvPicPr>
        <xdr:cNvPr id="15" name="Imagen 14">
          <a:hlinkClick xmlns:r="http://schemas.openxmlformats.org/officeDocument/2006/relationships" r:id="rId1"/>
          <a:extLst>
            <a:ext uri="{FF2B5EF4-FFF2-40B4-BE49-F238E27FC236}">
              <a16:creationId xmlns:a16="http://schemas.microsoft.com/office/drawing/2014/main" id="{F06D9B30-6322-4B49-817E-47086EC790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47625" y="0"/>
          <a:ext cx="1088326" cy="836050"/>
        </a:xfrm>
        <a:prstGeom prst="rect">
          <a:avLst/>
        </a:prstGeom>
      </xdr:spPr>
    </xdr:pic>
    <xdr:clientData/>
  </xdr:twoCellAnchor>
  <xdr:twoCellAnchor editAs="oneCell">
    <xdr:from>
      <xdr:col>0</xdr:col>
      <xdr:colOff>193672</xdr:colOff>
      <xdr:row>0</xdr:row>
      <xdr:rowOff>76194</xdr:rowOff>
    </xdr:from>
    <xdr:to>
      <xdr:col>1</xdr:col>
      <xdr:colOff>553869</xdr:colOff>
      <xdr:row>6</xdr:row>
      <xdr:rowOff>65769</xdr:rowOff>
    </xdr:to>
    <xdr:pic>
      <xdr:nvPicPr>
        <xdr:cNvPr id="2" name="Imagen 1">
          <a:hlinkClick xmlns:r="http://schemas.openxmlformats.org/officeDocument/2006/relationships" r:id="rId1"/>
          <a:extLst>
            <a:ext uri="{FF2B5EF4-FFF2-40B4-BE49-F238E27FC236}">
              <a16:creationId xmlns:a16="http://schemas.microsoft.com/office/drawing/2014/main" id="{A6D2FE83-3C37-4079-8497-B13BA4DF21D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2" y="76194"/>
          <a:ext cx="1588922" cy="1259575"/>
        </a:xfrm>
        <a:prstGeom prst="rect">
          <a:avLst/>
        </a:prstGeom>
      </xdr:spPr>
    </xdr:pic>
    <xdr:clientData/>
  </xdr:twoCellAnchor>
  <xdr:twoCellAnchor editAs="oneCell">
    <xdr:from>
      <xdr:col>13</xdr:col>
      <xdr:colOff>371475</xdr:colOff>
      <xdr:row>0</xdr:row>
      <xdr:rowOff>66675</xdr:rowOff>
    </xdr:from>
    <xdr:to>
      <xdr:col>15</xdr:col>
      <xdr:colOff>268122</xdr:colOff>
      <xdr:row>6</xdr:row>
      <xdr:rowOff>59425</xdr:rowOff>
    </xdr:to>
    <xdr:pic>
      <xdr:nvPicPr>
        <xdr:cNvPr id="3" name="Imagen 2">
          <a:hlinkClick xmlns:r="http://schemas.openxmlformats.org/officeDocument/2006/relationships" r:id="rId1"/>
          <a:extLst>
            <a:ext uri="{FF2B5EF4-FFF2-40B4-BE49-F238E27FC236}">
              <a16:creationId xmlns:a16="http://schemas.microsoft.com/office/drawing/2014/main" id="{8AB6DBCE-B290-467D-9052-66E2F43A0A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34775" y="66675"/>
          <a:ext cx="1592097" cy="12595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epe.es/HomeSepe/es/que-es-el-sepe/comunicacion-institucional/noticias/detalle-noticia?folder=/SEPE/2024/Febrero/&amp;detail=El-SMI-publicado-para-2024-se-establece-en-1134-euro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epe.es/HomeSepe/es/que-es-el-sepe/comunicacion-institucional/noticias/detalle-noticia?folder=/SEPE/2024/Febrero/&amp;detail=El-SMI-publicado-para-2024-se-establece-en-1134-euro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AH69"/>
  <sheetViews>
    <sheetView showGridLines="0" showRowColHeaders="0" tabSelected="1" zoomScaleNormal="100" workbookViewId="0">
      <selection activeCell="H12" sqref="H12"/>
    </sheetView>
  </sheetViews>
  <sheetFormatPr baseColWidth="10" defaultRowHeight="14.5"/>
  <cols>
    <col min="1" max="1" width="4.36328125" style="1" customWidth="1"/>
    <col min="2" max="3" width="0.6328125" style="1" customWidth="1"/>
    <col min="4" max="10" width="14.6328125" style="1" customWidth="1"/>
    <col min="11" max="13" width="0.6328125" style="1" customWidth="1"/>
    <col min="14" max="14" width="14" style="1" customWidth="1"/>
    <col min="15" max="15" width="3.26953125" style="1" customWidth="1"/>
    <col min="16" max="18" width="0.6328125" style="1" customWidth="1"/>
    <col min="19" max="25" width="14.6328125" style="1" customWidth="1"/>
    <col min="26" max="26" width="0.6328125" style="1" customWidth="1"/>
    <col min="27" max="27" width="14.6328125" style="1" customWidth="1"/>
    <col min="28" max="28" width="10.90625" style="1" customWidth="1"/>
    <col min="29" max="29" width="9.36328125" style="1" customWidth="1"/>
    <col min="30" max="30" width="20.6328125" style="1" customWidth="1"/>
    <col min="31" max="31" width="14.26953125" style="1" customWidth="1"/>
    <col min="32" max="32" width="10.54296875" style="1" customWidth="1"/>
    <col min="33" max="16384" width="10.90625" style="1"/>
  </cols>
  <sheetData>
    <row r="1" spans="1:34" ht="40" customHeight="1">
      <c r="E1" s="648">
        <v>2024</v>
      </c>
      <c r="F1" s="648"/>
      <c r="G1" s="648"/>
      <c r="H1" s="648"/>
      <c r="I1" s="648"/>
      <c r="N1" s="652"/>
      <c r="O1" s="652"/>
      <c r="U1" s="244">
        <v>2025</v>
      </c>
      <c r="V1" s="299" t="str">
        <f>IF(W14=LISTAS!F28," (con tablas de 2025)",IF(W14=LISTAS!F27," (con tablas de 2024)",""))</f>
        <v xml:space="preserve"> (con tablas de 2025)</v>
      </c>
      <c r="W1" s="243"/>
      <c r="X1" s="243"/>
    </row>
    <row r="2" spans="1:34" s="3" customFormat="1" ht="28" customHeight="1">
      <c r="E2" s="647" t="s">
        <v>548</v>
      </c>
      <c r="F2" s="647"/>
      <c r="G2" s="647"/>
      <c r="H2" s="647"/>
      <c r="I2" s="647"/>
      <c r="J2" s="54"/>
      <c r="K2" s="36"/>
      <c r="L2" s="36"/>
      <c r="M2" s="36"/>
      <c r="N2" s="649" t="s">
        <v>559</v>
      </c>
      <c r="O2" s="649"/>
      <c r="P2" s="36"/>
      <c r="Q2" s="36"/>
      <c r="R2" s="36"/>
      <c r="T2" s="647" t="s">
        <v>553</v>
      </c>
      <c r="U2" s="647"/>
      <c r="V2" s="647"/>
      <c r="W2" s="647"/>
      <c r="X2" s="647"/>
      <c r="Y2" s="54"/>
      <c r="AG2" s="1"/>
    </row>
    <row r="3" spans="1:34" ht="3.5" customHeight="1">
      <c r="C3" s="5"/>
      <c r="D3" s="6"/>
      <c r="E3" s="6"/>
      <c r="F3" s="6"/>
      <c r="G3" s="6"/>
      <c r="H3" s="6"/>
      <c r="I3" s="6"/>
      <c r="J3" s="6"/>
      <c r="K3" s="7"/>
      <c r="L3" s="12"/>
      <c r="M3" s="68"/>
      <c r="N3" s="69"/>
      <c r="O3" s="69"/>
      <c r="P3" s="70"/>
      <c r="R3" s="5"/>
      <c r="S3" s="6"/>
      <c r="T3" s="6"/>
      <c r="U3" s="6"/>
      <c r="V3" s="6"/>
      <c r="W3" s="6"/>
      <c r="X3" s="6"/>
      <c r="Y3" s="6"/>
      <c r="Z3" s="7"/>
      <c r="AA3" s="12"/>
      <c r="AB3" s="12"/>
      <c r="AC3" s="12"/>
      <c r="AD3" s="12"/>
      <c r="AE3" s="12"/>
    </row>
    <row r="4" spans="1:34" s="23" customFormat="1" ht="14" customHeight="1">
      <c r="A4" s="84" t="s">
        <v>149</v>
      </c>
      <c r="C4" s="18"/>
      <c r="D4" s="657" t="s">
        <v>0</v>
      </c>
      <c r="E4" s="657"/>
      <c r="F4" s="657"/>
      <c r="G4" s="657"/>
      <c r="H4" s="657"/>
      <c r="I4" s="658"/>
      <c r="J4" s="16" t="s">
        <v>1</v>
      </c>
      <c r="K4" s="22"/>
      <c r="L4" s="44"/>
      <c r="M4" s="71"/>
      <c r="N4" s="653" t="s">
        <v>152</v>
      </c>
      <c r="O4" s="654"/>
      <c r="P4" s="62"/>
      <c r="R4" s="18"/>
      <c r="S4" s="24" t="s">
        <v>0</v>
      </c>
      <c r="T4" s="19"/>
      <c r="U4" s="20"/>
      <c r="V4" s="20"/>
      <c r="W4" s="20"/>
      <c r="X4" s="21"/>
      <c r="Y4" s="16" t="s">
        <v>1</v>
      </c>
      <c r="Z4" s="22"/>
      <c r="AA4" s="44"/>
      <c r="AB4" s="44"/>
      <c r="AC4" s="44"/>
      <c r="AD4" s="44"/>
      <c r="AE4" s="44"/>
      <c r="AF4" s="549"/>
      <c r="AG4" s="551"/>
      <c r="AH4" s="551"/>
    </row>
    <row r="5" spans="1:34" ht="14" customHeight="1" thickBot="1">
      <c r="C5" s="8"/>
      <c r="D5" s="120"/>
      <c r="E5" s="121"/>
      <c r="F5" s="121"/>
      <c r="G5" s="121"/>
      <c r="H5" s="121"/>
      <c r="I5" s="121"/>
      <c r="J5" s="49"/>
      <c r="K5" s="11"/>
      <c r="L5" s="12"/>
      <c r="M5" s="61"/>
      <c r="N5" s="655" t="s">
        <v>461</v>
      </c>
      <c r="O5" s="656"/>
      <c r="P5" s="62"/>
      <c r="R5" s="8"/>
      <c r="S5" s="12"/>
      <c r="T5" s="12"/>
      <c r="U5" s="12"/>
      <c r="V5" s="12"/>
      <c r="W5" s="12"/>
      <c r="X5" s="12"/>
      <c r="Y5" s="12"/>
      <c r="Z5" s="11"/>
      <c r="AA5" s="12"/>
      <c r="AB5" s="12"/>
      <c r="AC5" s="12"/>
      <c r="AD5" s="12"/>
      <c r="AE5" s="12"/>
      <c r="AF5" s="549"/>
      <c r="AG5" s="551"/>
      <c r="AH5" s="551"/>
    </row>
    <row r="6" spans="1:34" s="3" customFormat="1" ht="14" customHeight="1" thickTop="1">
      <c r="A6" s="84" t="s">
        <v>149</v>
      </c>
      <c r="C6" s="73"/>
      <c r="D6" s="74" t="s">
        <v>2</v>
      </c>
      <c r="E6" s="74"/>
      <c r="F6" s="75"/>
      <c r="G6" s="75"/>
      <c r="H6" s="75"/>
      <c r="I6" s="76"/>
      <c r="J6" s="77" t="s">
        <v>3</v>
      </c>
      <c r="K6" s="78"/>
      <c r="L6" s="45"/>
      <c r="M6" s="79"/>
      <c r="N6" s="650" t="s">
        <v>593</v>
      </c>
      <c r="O6" s="651"/>
      <c r="P6" s="80"/>
      <c r="R6" s="73"/>
      <c r="S6" s="74" t="s">
        <v>2</v>
      </c>
      <c r="T6" s="74"/>
      <c r="U6" s="75"/>
      <c r="V6" s="75"/>
      <c r="W6" s="75"/>
      <c r="X6" s="76"/>
      <c r="Y6" s="77" t="s">
        <v>3</v>
      </c>
      <c r="Z6" s="78"/>
      <c r="AA6" s="354"/>
      <c r="AB6" s="354"/>
      <c r="AC6" s="354"/>
      <c r="AD6" s="354"/>
      <c r="AE6" s="354"/>
      <c r="AF6" s="550"/>
      <c r="AG6" s="551"/>
      <c r="AH6" s="551"/>
    </row>
    <row r="7" spans="1:34" ht="14" customHeight="1">
      <c r="C7" s="13"/>
      <c r="E7" s="122"/>
      <c r="F7" s="122"/>
      <c r="G7" s="122"/>
      <c r="H7" s="122"/>
      <c r="I7" s="122"/>
      <c r="J7" s="50"/>
      <c r="K7" s="15"/>
      <c r="L7" s="12"/>
      <c r="M7" s="61"/>
      <c r="N7" s="673">
        <f ca="1">N19+N20+N21+N22+(N23-N10)+N28+N29</f>
        <v>103.53081157869381</v>
      </c>
      <c r="O7" s="83" t="s">
        <v>149</v>
      </c>
      <c r="P7" s="63"/>
      <c r="R7" s="13"/>
      <c r="V7" s="14"/>
      <c r="W7" s="14"/>
      <c r="X7" s="14"/>
      <c r="Y7" s="14"/>
      <c r="Z7" s="15"/>
      <c r="AA7" s="12"/>
      <c r="AB7" s="12"/>
      <c r="AC7" s="12"/>
      <c r="AD7" s="12"/>
      <c r="AE7" s="12"/>
      <c r="AF7" s="549"/>
      <c r="AG7" s="551"/>
      <c r="AH7" s="551"/>
    </row>
    <row r="8" spans="1:34" ht="3.5" customHeight="1" thickBot="1">
      <c r="C8" s="5"/>
      <c r="D8" s="6"/>
      <c r="E8" s="6"/>
      <c r="F8" s="6"/>
      <c r="G8" s="6"/>
      <c r="H8" s="6"/>
      <c r="I8" s="6"/>
      <c r="J8" s="6"/>
      <c r="K8" s="7"/>
      <c r="L8" s="12"/>
      <c r="M8" s="61"/>
      <c r="N8" s="674"/>
      <c r="O8" s="12"/>
      <c r="P8" s="64"/>
      <c r="R8" s="5"/>
      <c r="S8" s="6"/>
      <c r="T8" s="6"/>
      <c r="U8" s="6"/>
      <c r="V8" s="6"/>
      <c r="W8" s="6"/>
      <c r="X8" s="6"/>
      <c r="Y8" s="6"/>
      <c r="Z8" s="7"/>
      <c r="AA8" s="12"/>
      <c r="AB8" s="12"/>
      <c r="AC8" s="12"/>
      <c r="AD8" s="12"/>
      <c r="AE8" s="12"/>
      <c r="AF8" s="549"/>
      <c r="AG8" s="551"/>
      <c r="AH8" s="551" t="s">
        <v>437</v>
      </c>
    </row>
    <row r="9" spans="1:34" ht="14" customHeight="1" thickTop="1">
      <c r="C9" s="8"/>
      <c r="D9" s="24" t="s">
        <v>4</v>
      </c>
      <c r="E9" s="9"/>
      <c r="F9" s="10"/>
      <c r="G9" s="10"/>
      <c r="H9" s="118" t="s">
        <v>141</v>
      </c>
      <c r="I9" s="119" t="s">
        <v>142</v>
      </c>
      <c r="J9" s="118" t="s">
        <v>143</v>
      </c>
      <c r="K9" s="11"/>
      <c r="L9" s="12"/>
      <c r="M9" s="61"/>
      <c r="N9" s="659" t="s">
        <v>594</v>
      </c>
      <c r="O9" s="660"/>
      <c r="P9" s="62"/>
      <c r="R9" s="8"/>
      <c r="S9" s="24" t="s">
        <v>4</v>
      </c>
      <c r="T9" s="9"/>
      <c r="U9" s="10"/>
      <c r="V9" s="10"/>
      <c r="W9" s="118" t="s">
        <v>141</v>
      </c>
      <c r="X9" s="119" t="s">
        <v>142</v>
      </c>
      <c r="Y9" s="280" t="s">
        <v>143</v>
      </c>
      <c r="Z9" s="11"/>
      <c r="AA9" s="12"/>
      <c r="AB9" s="12"/>
      <c r="AC9" s="12"/>
      <c r="AD9" s="12"/>
      <c r="AE9" s="12"/>
    </row>
    <row r="10" spans="1:34" ht="16" customHeight="1" thickBot="1">
      <c r="C10" s="8"/>
      <c r="D10" s="602"/>
      <c r="E10" s="602"/>
      <c r="F10" s="602"/>
      <c r="G10" s="602"/>
      <c r="H10" s="604">
        <f>E1-YEAR(J12)</f>
        <v>1</v>
      </c>
      <c r="I10" s="604">
        <f>IF(H10&lt;3,0,IF(AND(H10&gt;2,H10&lt;6),1,IF(AND(H10&gt;5,H10&lt;9),2,IF(AND(H10&gt;8,H10&lt;12),3,IF(AND(H10&gt;11,H10&lt;15),4,IF(AND(H10&gt;14,H10&lt;18),5,IF(AND(H10&gt;17,H10&lt;21),6,IF(AND(H10&gt;20,H10&lt;24),7,IF(AND(H10&gt;23,H10&lt;27),8,9)))))))))</f>
        <v>0</v>
      </c>
      <c r="J10" s="606">
        <f>IF(I10=0,0,IF(I10=1,0.05,IF(I10=2,0.1,IF(I10=3,0.15,IF(I10=4,0.2,IF(I10=5,0.25,IF(I10=6,0.35,IF(I10=7,0.45,IF(I10=8,0.55,0.6)))))))))</f>
        <v>0</v>
      </c>
      <c r="K10" s="11"/>
      <c r="L10" s="12"/>
      <c r="M10" s="61"/>
      <c r="N10" s="81">
        <f ca="1">IF(J10=Y10,0,(Y10-J10)*(W19+W20))</f>
        <v>0</v>
      </c>
      <c r="O10" s="72" t="s">
        <v>149</v>
      </c>
      <c r="P10" s="63"/>
      <c r="R10" s="8"/>
      <c r="S10" s="602"/>
      <c r="T10" s="603"/>
      <c r="U10" s="602"/>
      <c r="V10" s="602"/>
      <c r="W10" s="604">
        <f ca="1">U1-YEAR(Y12)</f>
        <v>2</v>
      </c>
      <c r="X10" s="604">
        <f ca="1">IF(W10&lt;3,0,IF(AND(W10&gt;2,W10&lt;6),1,IF(AND(W10&gt;5,W10&lt;9),2,IF(AND(W10&gt;8,W10&lt;12),3,IF(AND(W10&gt;11,W10&lt;15),4,IF(AND(W10&gt;14,W10&lt;18),5,IF(AND(W10&gt;17,W10&lt;21),6,IF(AND(W10&gt;20,W10&lt;24),7,IF(AND(W10&gt;23,W10&lt;27),8,9)))))))))</f>
        <v>0</v>
      </c>
      <c r="Y10" s="605">
        <f ca="1">IF(X10=0,0,IF(X10=1,0.05,IF(X10=2,0.1,IF(X10=3,0.15,IF(X10=4,0.2,IF(X10=5,0.25,IF(X10=6,0.35,IF(X10=7,0.45,IF(X10=8,0.55,0.6)))))))))</f>
        <v>0</v>
      </c>
      <c r="Z10" s="11"/>
      <c r="AA10" s="696"/>
      <c r="AB10" s="355"/>
      <c r="AC10" s="355"/>
      <c r="AD10" s="355"/>
      <c r="AE10" s="355"/>
    </row>
    <row r="11" spans="1:34" ht="14" customHeight="1" thickTop="1">
      <c r="A11" s="84" t="s">
        <v>149</v>
      </c>
      <c r="C11" s="8"/>
      <c r="D11" s="24" t="s">
        <v>5</v>
      </c>
      <c r="E11" s="25"/>
      <c r="F11" s="16" t="s">
        <v>6</v>
      </c>
      <c r="G11" s="26"/>
      <c r="H11" s="29" t="s">
        <v>7</v>
      </c>
      <c r="I11" s="56" t="s">
        <v>8</v>
      </c>
      <c r="J11" s="56" t="s">
        <v>9</v>
      </c>
      <c r="K11" s="11"/>
      <c r="L11" s="12"/>
      <c r="M11" s="61"/>
      <c r="N11" s="650" t="s">
        <v>595</v>
      </c>
      <c r="O11" s="651"/>
      <c r="P11" s="62"/>
      <c r="R11" s="8"/>
      <c r="S11" s="24" t="s">
        <v>5</v>
      </c>
      <c r="T11" s="25"/>
      <c r="U11" s="16" t="s">
        <v>6</v>
      </c>
      <c r="V11" s="26"/>
      <c r="W11" s="29" t="s">
        <v>7</v>
      </c>
      <c r="X11" s="56" t="s">
        <v>8</v>
      </c>
      <c r="Y11" s="56" t="s">
        <v>9</v>
      </c>
      <c r="Z11" s="11"/>
      <c r="AA11" s="696"/>
      <c r="AB11" s="355"/>
      <c r="AC11" s="355"/>
      <c r="AD11" s="355"/>
      <c r="AE11" s="355"/>
    </row>
    <row r="12" spans="1:34" s="3" customFormat="1" ht="18" customHeight="1" thickBot="1">
      <c r="C12" s="73"/>
      <c r="D12" s="45"/>
      <c r="E12" s="248"/>
      <c r="F12" s="680"/>
      <c r="G12" s="681"/>
      <c r="H12" s="290">
        <v>1</v>
      </c>
      <c r="I12" s="248"/>
      <c r="J12" s="291">
        <v>44986</v>
      </c>
      <c r="K12" s="78"/>
      <c r="L12" s="45"/>
      <c r="M12" s="79"/>
      <c r="N12" s="86">
        <f ca="1">N7+N10</f>
        <v>103.53081157869381</v>
      </c>
      <c r="O12" s="249"/>
      <c r="P12" s="250"/>
      <c r="R12" s="73"/>
      <c r="S12" s="668"/>
      <c r="T12" s="668"/>
      <c r="U12" s="557"/>
      <c r="V12" s="557"/>
      <c r="W12" s="290">
        <f>H12</f>
        <v>1</v>
      </c>
      <c r="X12" s="43"/>
      <c r="Y12" s="251">
        <f ca="1">IF(ISBLANK(J12),TODAY(),J12)</f>
        <v>44986</v>
      </c>
      <c r="Z12" s="78"/>
      <c r="AA12" s="696"/>
      <c r="AB12" s="355"/>
      <c r="AC12" s="355"/>
      <c r="AD12" s="355"/>
      <c r="AE12" s="355"/>
    </row>
    <row r="13" spans="1:34" ht="14" customHeight="1" thickTop="1">
      <c r="A13" s="51" t="s">
        <v>149</v>
      </c>
      <c r="C13" s="8"/>
      <c r="D13" s="25" t="s">
        <v>10</v>
      </c>
      <c r="E13" s="24"/>
      <c r="F13" s="26"/>
      <c r="G13" s="28"/>
      <c r="H13" s="29" t="s">
        <v>11</v>
      </c>
      <c r="I13" s="30"/>
      <c r="J13" s="29" t="s">
        <v>12</v>
      </c>
      <c r="K13" s="11"/>
      <c r="L13" s="12"/>
      <c r="M13" s="61"/>
      <c r="N13" s="661" t="s">
        <v>596</v>
      </c>
      <c r="O13" s="651"/>
      <c r="P13" s="62"/>
      <c r="R13" s="8"/>
      <c r="S13" s="25" t="s">
        <v>10</v>
      </c>
      <c r="T13" s="24"/>
      <c r="U13" s="26"/>
      <c r="V13" s="28"/>
      <c r="W13" s="29" t="s">
        <v>11</v>
      </c>
      <c r="X13" s="30"/>
      <c r="Y13" s="29" t="s">
        <v>12</v>
      </c>
      <c r="Z13" s="11"/>
      <c r="AA13" s="696"/>
      <c r="AB13" s="572"/>
      <c r="AC13" s="355"/>
      <c r="AD13" s="355"/>
      <c r="AE13" s="355"/>
    </row>
    <row r="14" spans="1:34" ht="18" customHeight="1">
      <c r="C14" s="13"/>
      <c r="D14" s="683" t="s">
        <v>128</v>
      </c>
      <c r="E14" s="683"/>
      <c r="F14" s="683"/>
      <c r="G14" s="245" t="str">
        <f>IF(ISBLANK(D14),"",VLOOKUP(D14,LISTAS!$A$2:$B$48,2,FALSE))</f>
        <v>4.A.1</v>
      </c>
      <c r="H14" s="682" t="s">
        <v>427</v>
      </c>
      <c r="I14" s="682"/>
      <c r="J14" s="245">
        <v>30</v>
      </c>
      <c r="K14" s="15"/>
      <c r="L14" s="12"/>
      <c r="M14" s="65"/>
      <c r="N14" s="613">
        <f ca="1">SUM(N19:N29)</f>
        <v>103.53081157869381</v>
      </c>
      <c r="O14" s="247" t="s">
        <v>149</v>
      </c>
      <c r="P14" s="246"/>
      <c r="R14" s="13"/>
      <c r="S14" s="665" t="str">
        <f>D14</f>
        <v>Area 4 Grupo A Nivel 1</v>
      </c>
      <c r="T14" s="666"/>
      <c r="U14" s="667"/>
      <c r="V14" s="245" t="str">
        <f>IF(ISBLANK(S14),"",VLOOKUP(S14,LISTAS!$C$2:$D$59,2,FALSE))</f>
        <v>4.A.1</v>
      </c>
      <c r="W14" s="670" t="s">
        <v>460</v>
      </c>
      <c r="X14" s="670"/>
      <c r="Y14" s="245">
        <v>30</v>
      </c>
      <c r="Z14" s="15"/>
      <c r="AA14" s="696"/>
      <c r="AB14" s="572"/>
      <c r="AC14" s="355"/>
      <c r="AD14" s="355"/>
      <c r="AE14" s="355"/>
    </row>
    <row r="15" spans="1:34" ht="4.5" customHeight="1">
      <c r="C15" s="12"/>
      <c r="D15" s="617"/>
      <c r="E15" s="617"/>
      <c r="F15" s="617"/>
      <c r="G15" s="618"/>
      <c r="H15" s="619"/>
      <c r="I15" s="619"/>
      <c r="J15" s="618"/>
      <c r="K15" s="370"/>
      <c r="L15" s="370"/>
      <c r="M15" s="370"/>
      <c r="N15" s="620"/>
      <c r="O15" s="621"/>
      <c r="P15" s="622"/>
      <c r="Q15" s="371"/>
      <c r="R15" s="370"/>
      <c r="S15" s="617"/>
      <c r="T15" s="617"/>
      <c r="U15" s="617"/>
      <c r="V15" s="618"/>
      <c r="W15" s="623"/>
      <c r="X15" s="624"/>
      <c r="Y15" s="618"/>
      <c r="Z15" s="12"/>
      <c r="AA15" s="355"/>
      <c r="AB15" s="355"/>
      <c r="AC15" s="355"/>
      <c r="AD15" s="355"/>
      <c r="AE15" s="355"/>
    </row>
    <row r="16" spans="1:34" ht="15" customHeight="1">
      <c r="D16" s="351"/>
      <c r="E16" s="352"/>
      <c r="F16" s="351"/>
      <c r="G16" s="352"/>
      <c r="H16" s="297"/>
      <c r="I16" s="297"/>
      <c r="J16" s="297"/>
      <c r="N16" s="350"/>
      <c r="O16" s="350"/>
      <c r="S16" s="669" t="str">
        <f ca="1">CONCATENATE("Cumples tu trienio nº ",X10,".    Tu antigüedad ↑ ",TEXT(Y10-J10,"0%")," (",TEXT(AF8,"#.##0,00")," €)", ".    Antigüedad Actual del ",TEXT(Y10,"0%"), " de tus Salarios Base.")</f>
        <v>Cumples tu trienio nº 0.    Tu antigüedad ↑ 0% (0,00 €).    Antigüedad Actual del 0% de tus Salarios Base.</v>
      </c>
      <c r="T16" s="669"/>
      <c r="U16" s="669"/>
      <c r="V16" s="669"/>
      <c r="W16" s="669"/>
      <c r="X16" s="669"/>
      <c r="Y16" s="669"/>
      <c r="AA16" s="690" t="s">
        <v>584</v>
      </c>
      <c r="AB16" s="693" t="s">
        <v>582</v>
      </c>
      <c r="AC16" s="693" t="s">
        <v>583</v>
      </c>
      <c r="AD16" s="298"/>
      <c r="AE16" s="298"/>
    </row>
    <row r="17" spans="1:33" ht="3" customHeight="1">
      <c r="G17" s="51"/>
      <c r="H17" s="51"/>
      <c r="I17" s="51"/>
      <c r="J17" s="51"/>
      <c r="M17" s="68"/>
      <c r="N17" s="69"/>
      <c r="O17" s="69"/>
      <c r="P17" s="70"/>
      <c r="AA17" s="691"/>
      <c r="AB17" s="694"/>
      <c r="AC17" s="694"/>
    </row>
    <row r="18" spans="1:33" ht="14" customHeight="1">
      <c r="A18" s="96" t="s">
        <v>149</v>
      </c>
      <c r="D18" s="24" t="s">
        <v>13</v>
      </c>
      <c r="E18" s="24"/>
      <c r="F18" s="28"/>
      <c r="G18" s="29" t="s">
        <v>14</v>
      </c>
      <c r="H18" s="16" t="s">
        <v>15</v>
      </c>
      <c r="I18" s="25" t="s">
        <v>16</v>
      </c>
      <c r="J18" s="27" t="s">
        <v>17</v>
      </c>
      <c r="M18" s="61"/>
      <c r="N18" s="653" t="s">
        <v>151</v>
      </c>
      <c r="O18" s="654"/>
      <c r="P18" s="62"/>
      <c r="S18" s="24" t="s">
        <v>13</v>
      </c>
      <c r="T18" s="24"/>
      <c r="U18" s="28"/>
      <c r="V18" s="29" t="s">
        <v>14</v>
      </c>
      <c r="W18" s="16" t="s">
        <v>15</v>
      </c>
      <c r="X18" s="25" t="s">
        <v>16</v>
      </c>
      <c r="Y18" s="27" t="s">
        <v>17</v>
      </c>
      <c r="AA18" s="692"/>
      <c r="AB18" s="695"/>
      <c r="AC18" s="695"/>
      <c r="AD18" s="562"/>
      <c r="AE18" s="562"/>
    </row>
    <row r="19" spans="1:33" ht="15" customHeight="1">
      <c r="A19" s="51" t="s">
        <v>149</v>
      </c>
      <c r="D19" s="663" t="s">
        <v>18</v>
      </c>
      <c r="E19" s="663"/>
      <c r="F19" s="675"/>
      <c r="G19" s="37">
        <v>100</v>
      </c>
      <c r="H19" s="37">
        <f>IF(OR(ISBLANK(D14),ISBLANK(H12)),0,(VLOOKUP(G14,TABLAS!$D$3:$P$60,2,FALSE)/14)*H12)</f>
        <v>1899.49</v>
      </c>
      <c r="I19" s="37">
        <f t="shared" ref="I19:I28" si="0">G19/100*H19</f>
        <v>1899.49</v>
      </c>
      <c r="J19" s="573">
        <f>IF(OR(ISBLANK(D14),ISBLANK(H12)),0,(VLOOKUP(G14,TABLAS!$D$3:$P$60,2,FALSE)/14))</f>
        <v>1899.49</v>
      </c>
      <c r="M19" s="61"/>
      <c r="N19" s="94">
        <f t="shared" ref="N19:N24" si="1">IF(X19&gt;0,X19-I19,0)</f>
        <v>75.979285714285652</v>
      </c>
      <c r="O19" s="123"/>
      <c r="P19" s="82"/>
      <c r="S19" s="663" t="s">
        <v>18</v>
      </c>
      <c r="T19" s="663"/>
      <c r="U19" s="663"/>
      <c r="V19" s="37">
        <v>100</v>
      </c>
      <c r="W19" s="57">
        <f>Y19*W12</f>
        <v>1975.4692857142857</v>
      </c>
      <c r="X19" s="37">
        <f t="shared" ref="X19:X28" si="2">V19/100*W19</f>
        <v>1975.4692857142857</v>
      </c>
      <c r="Y19" s="573">
        <f>IF(ISBLANK(S14),0,(VLOOKUP(V14,TABLAS!$D$3:$P$60,IF(W14="Mes 2025 (Tablas 2024)",2,IF(W14="Mes 2025 (Tablas 2025)",5,8)),FALSE)/14))</f>
        <v>1975.4692857142857</v>
      </c>
      <c r="AA19" s="591">
        <f>Y19-J19</f>
        <v>75.979285714285652</v>
      </c>
      <c r="AB19" s="701">
        <f>SUM(AA19:AA22)</f>
        <v>88.74069563888041</v>
      </c>
      <c r="AC19" s="577"/>
      <c r="AD19" s="581"/>
      <c r="AE19" s="581"/>
      <c r="AF19" s="564"/>
      <c r="AG19" s="563"/>
    </row>
    <row r="20" spans="1:33" ht="15" customHeight="1">
      <c r="A20" s="51" t="s">
        <v>149</v>
      </c>
      <c r="D20" s="676" t="s">
        <v>147</v>
      </c>
      <c r="E20" s="676"/>
      <c r="F20" s="677"/>
      <c r="G20" s="37">
        <v>100</v>
      </c>
      <c r="H20" s="293">
        <v>100</v>
      </c>
      <c r="I20" s="37">
        <f t="shared" si="0"/>
        <v>100</v>
      </c>
      <c r="J20" s="573">
        <f>IF($H$12=1,H20,(H20*100/$H$12)/100)</f>
        <v>100</v>
      </c>
      <c r="M20" s="61"/>
      <c r="N20" s="94">
        <f t="shared" si="1"/>
        <v>3.9999875687774704</v>
      </c>
      <c r="O20" s="123"/>
      <c r="P20" s="82"/>
      <c r="S20" s="662" t="str">
        <f>IF(ISBLANK(D20),"",D20)</f>
        <v>EX SALARIO BASE 2022</v>
      </c>
      <c r="T20" s="662"/>
      <c r="U20" s="662"/>
      <c r="V20" s="37">
        <v>100</v>
      </c>
      <c r="W20" s="57">
        <f>Y20*W12</f>
        <v>103.99998756877747</v>
      </c>
      <c r="X20" s="37">
        <f t="shared" si="2"/>
        <v>103.99998756877747</v>
      </c>
      <c r="Y20" s="573">
        <f>IF(W14="Mes 2025 (Tablas 2024)",J20,(VLOOKUP(V14,TABLAS!$D$3:$R$60,15,FALSE)+1)*J20)</f>
        <v>103.99998756877747</v>
      </c>
      <c r="AA20" s="576">
        <f t="shared" ref="AA20:AA23" si="3">Y20-J20</f>
        <v>3.9999875687774704</v>
      </c>
      <c r="AB20" s="702"/>
      <c r="AC20" s="577"/>
      <c r="AD20" s="581"/>
      <c r="AE20" s="581"/>
      <c r="AF20" s="564"/>
      <c r="AG20" s="563"/>
    </row>
    <row r="21" spans="1:33" ht="15" customHeight="1">
      <c r="A21" s="51" t="s">
        <v>149</v>
      </c>
      <c r="D21" s="664" t="s">
        <v>19</v>
      </c>
      <c r="E21" s="664"/>
      <c r="F21" s="697"/>
      <c r="G21" s="35">
        <v>100</v>
      </c>
      <c r="H21" s="35">
        <f>IF(ISBLANK(D14),0,(VLOOKUP(G14,TABLAS!$D$3:$P$60,3,FALSE)/14)*H12)</f>
        <v>169.03428571428572</v>
      </c>
      <c r="I21" s="35">
        <f t="shared" si="0"/>
        <v>169.03428571428572</v>
      </c>
      <c r="J21" s="573">
        <f t="shared" ref="J21:J27" si="4">IF($H$12=1,H21,(H21*100/$H$12)/100)</f>
        <v>169.03428571428572</v>
      </c>
      <c r="M21" s="61"/>
      <c r="N21" s="94">
        <f t="shared" si="1"/>
        <v>6.7614285714285529</v>
      </c>
      <c r="O21" s="123"/>
      <c r="P21" s="82"/>
      <c r="S21" s="664" t="s">
        <v>19</v>
      </c>
      <c r="T21" s="664"/>
      <c r="U21" s="664"/>
      <c r="V21" s="35">
        <v>100</v>
      </c>
      <c r="W21" s="58">
        <f>Y21*W12</f>
        <v>175.79571428571427</v>
      </c>
      <c r="X21" s="37">
        <f t="shared" si="2"/>
        <v>175.79571428571427</v>
      </c>
      <c r="Y21" s="573">
        <f>IF(ISBLANK(S14),0,(VLOOKUP(V14,TABLAS!$D$3:$P$60,IF(W14="Mes 2025 (Tablas 2024)",3,IF(W14="Mes 2025 (Tablas 2025)",6,9)),FALSE)/14))</f>
        <v>175.79571428571427</v>
      </c>
      <c r="AA21" s="576">
        <f t="shared" si="3"/>
        <v>6.7614285714285529</v>
      </c>
      <c r="AB21" s="702"/>
      <c r="AC21" s="577"/>
      <c r="AD21" s="581"/>
      <c r="AE21" s="581"/>
      <c r="AF21" s="564"/>
      <c r="AG21" s="563"/>
    </row>
    <row r="22" spans="1:33" ht="15" customHeight="1">
      <c r="A22" s="51" t="s">
        <v>149</v>
      </c>
      <c r="D22" s="676" t="s">
        <v>148</v>
      </c>
      <c r="E22" s="676"/>
      <c r="F22" s="677"/>
      <c r="G22" s="35">
        <v>100</v>
      </c>
      <c r="H22" s="292">
        <v>50</v>
      </c>
      <c r="I22" s="35">
        <f t="shared" si="0"/>
        <v>50</v>
      </c>
      <c r="J22" s="573">
        <f t="shared" si="4"/>
        <v>50</v>
      </c>
      <c r="M22" s="61"/>
      <c r="N22" s="94">
        <f t="shared" si="1"/>
        <v>1.9999937843887352</v>
      </c>
      <c r="O22" s="123"/>
      <c r="P22" s="82"/>
      <c r="S22" s="662" t="str">
        <f>IF(ISBLANK(D22),"",D22)</f>
        <v>EX PLUS CONVENIO 2022</v>
      </c>
      <c r="T22" s="662"/>
      <c r="U22" s="662"/>
      <c r="V22" s="35">
        <v>100</v>
      </c>
      <c r="W22" s="58">
        <f>Y22*W12</f>
        <v>51.999993784388735</v>
      </c>
      <c r="X22" s="37">
        <f t="shared" si="2"/>
        <v>51.999993784388735</v>
      </c>
      <c r="Y22" s="573">
        <f>IF(W14="Mes 2025 (Tablas 2024)",J22,(VLOOKUP(V14,TABLAS!$D$3:$R$60,15,FALSE)+1)*J22)</f>
        <v>51.999993784388735</v>
      </c>
      <c r="AA22" s="578">
        <f t="shared" si="3"/>
        <v>1.9999937843887352</v>
      </c>
      <c r="AB22" s="703"/>
      <c r="AC22" s="590"/>
      <c r="AD22" s="581"/>
      <c r="AE22" s="581"/>
    </row>
    <row r="23" spans="1:33" ht="15" customHeight="1">
      <c r="A23" s="51" t="s">
        <v>149</v>
      </c>
      <c r="D23" s="671" t="s">
        <v>20</v>
      </c>
      <c r="E23" s="671"/>
      <c r="F23" s="672"/>
      <c r="G23" s="126">
        <v>100</v>
      </c>
      <c r="H23" s="126">
        <f>IF(ISBLANK(J12),0,(H19+H20)*J10)</f>
        <v>0</v>
      </c>
      <c r="I23" s="126">
        <f t="shared" si="0"/>
        <v>0</v>
      </c>
      <c r="J23" s="573">
        <f>(J19+J20)*J10</f>
        <v>0</v>
      </c>
      <c r="M23" s="61"/>
      <c r="N23" s="94">
        <f t="shared" ca="1" si="1"/>
        <v>0</v>
      </c>
      <c r="O23" s="123"/>
      <c r="P23" s="82"/>
      <c r="S23" s="671" t="s">
        <v>20</v>
      </c>
      <c r="T23" s="671"/>
      <c r="U23" s="671"/>
      <c r="V23" s="126">
        <v>100</v>
      </c>
      <c r="W23" s="127">
        <f ca="1">Y23*W12</f>
        <v>0</v>
      </c>
      <c r="X23" s="126">
        <f t="shared" ca="1" si="2"/>
        <v>0</v>
      </c>
      <c r="Y23" s="573">
        <f ca="1">(Y19+Y20)*Y10</f>
        <v>0</v>
      </c>
      <c r="AA23" s="585">
        <f t="shared" ca="1" si="3"/>
        <v>0</v>
      </c>
      <c r="AB23" s="586">
        <f ca="1">AA23-AC23</f>
        <v>0</v>
      </c>
      <c r="AC23" s="587">
        <f ca="1">(Y10-J10)*(Y19+Y20)</f>
        <v>0</v>
      </c>
      <c r="AD23" s="583"/>
      <c r="AE23" s="581"/>
      <c r="AF23" s="564"/>
      <c r="AG23" s="563"/>
    </row>
    <row r="24" spans="1:33" ht="15" customHeight="1" thickBot="1">
      <c r="A24" s="51" t="s">
        <v>149</v>
      </c>
      <c r="D24" s="686" t="s">
        <v>172</v>
      </c>
      <c r="E24" s="686"/>
      <c r="F24" s="687"/>
      <c r="G24" s="35">
        <v>100</v>
      </c>
      <c r="H24" s="292">
        <v>56</v>
      </c>
      <c r="I24" s="35">
        <f>G24/100*H24</f>
        <v>56</v>
      </c>
      <c r="J24" s="573">
        <f t="shared" si="4"/>
        <v>56</v>
      </c>
      <c r="M24" s="61"/>
      <c r="N24" s="94">
        <f t="shared" si="1"/>
        <v>0</v>
      </c>
      <c r="O24" s="123"/>
      <c r="P24" s="82"/>
      <c r="S24" s="628" t="str">
        <f>D24</f>
        <v>Complemento Consolidado</v>
      </c>
      <c r="T24" s="628"/>
      <c r="U24" s="641"/>
      <c r="V24" s="553">
        <v>100</v>
      </c>
      <c r="W24" s="554">
        <f>Y24*W12</f>
        <v>56</v>
      </c>
      <c r="X24" s="553">
        <f t="shared" si="2"/>
        <v>56</v>
      </c>
      <c r="Y24" s="573">
        <f>J24</f>
        <v>56</v>
      </c>
      <c r="Z24" s="551"/>
      <c r="AA24" s="578">
        <f>W29-H29</f>
        <v>0</v>
      </c>
      <c r="AB24" s="578">
        <f>(AA24*12)/14</f>
        <v>0</v>
      </c>
      <c r="AC24" s="580"/>
      <c r="AD24" s="575" t="s">
        <v>585</v>
      </c>
      <c r="AE24" s="575"/>
      <c r="AF24" s="564"/>
      <c r="AG24" s="565"/>
    </row>
    <row r="25" spans="1:33" ht="15" customHeight="1" thickTop="1">
      <c r="A25" s="51" t="s">
        <v>149</v>
      </c>
      <c r="D25" s="678" t="s">
        <v>23</v>
      </c>
      <c r="E25" s="678"/>
      <c r="F25" s="679"/>
      <c r="G25" s="35">
        <v>100</v>
      </c>
      <c r="H25" s="292">
        <v>0</v>
      </c>
      <c r="I25" s="35">
        <f>G25/100*H25</f>
        <v>0</v>
      </c>
      <c r="J25" s="584">
        <f>IF($H$12=1,H25,(H25*100/$H$12)/100)</f>
        <v>0</v>
      </c>
      <c r="M25" s="61"/>
      <c r="N25" s="94">
        <f ca="1">IF(S25="Complemento Absorbible 2025 (con Subida)",IF(Y25&gt;X25,Y25-I25,X25-I25),X25-I25)</f>
        <v>0</v>
      </c>
      <c r="O25" s="123"/>
      <c r="P25" s="82"/>
      <c r="S25" s="629" t="s">
        <v>23</v>
      </c>
      <c r="T25" s="629"/>
      <c r="U25" s="629"/>
      <c r="V25" s="553">
        <v>100</v>
      </c>
      <c r="W25" s="555">
        <f ca="1">IF(J25-AB26&lt;0,0,J25-AB26)*W12</f>
        <v>0</v>
      </c>
      <c r="X25" s="553">
        <f t="shared" ca="1" si="2"/>
        <v>0</v>
      </c>
      <c r="Y25" s="574">
        <v>50</v>
      </c>
      <c r="Z25" s="551"/>
      <c r="AA25" s="588"/>
      <c r="AB25" s="589">
        <f ca="1">AB19+AB23+AB24</f>
        <v>88.74069563888041</v>
      </c>
      <c r="AC25" s="589">
        <f ca="1">AC23</f>
        <v>0</v>
      </c>
      <c r="AF25" s="564"/>
      <c r="AG25" s="566"/>
    </row>
    <row r="26" spans="1:33" ht="15" customHeight="1">
      <c r="A26" s="51" t="s">
        <v>149</v>
      </c>
      <c r="D26" s="639" t="s">
        <v>506</v>
      </c>
      <c r="E26" s="639"/>
      <c r="F26" s="640"/>
      <c r="G26" s="35">
        <v>100</v>
      </c>
      <c r="H26" s="292">
        <v>0</v>
      </c>
      <c r="I26" s="35">
        <f>G26/100*H26</f>
        <v>0</v>
      </c>
      <c r="J26" s="573">
        <f>IF($H$12=1,H26,(H26*100/$H$12)/100)</f>
        <v>0</v>
      </c>
      <c r="M26" s="61"/>
      <c r="N26" s="95">
        <f ca="1">X26-I26</f>
        <v>0</v>
      </c>
      <c r="O26" s="123"/>
      <c r="P26" s="82"/>
      <c r="S26" s="628" t="s">
        <v>506</v>
      </c>
      <c r="T26" s="628"/>
      <c r="U26" s="628"/>
      <c r="V26" s="553">
        <v>100</v>
      </c>
      <c r="W26" s="554">
        <f ca="1">Y26*W12</f>
        <v>0</v>
      </c>
      <c r="X26" s="553">
        <f t="shared" ca="1" si="2"/>
        <v>0</v>
      </c>
      <c r="Y26" s="573">
        <f ca="1">IF(AE27&lt;&gt;"F",IF(J26-AC29&lt;0,0,J26-AC29),IF(J26-AC31&lt;0,0,J26-AC31))</f>
        <v>0</v>
      </c>
      <c r="Z26" s="560"/>
      <c r="AA26" s="560"/>
      <c r="AB26" s="704">
        <f ca="1">AB25+AC25</f>
        <v>88.74069563888041</v>
      </c>
      <c r="AC26" s="705"/>
      <c r="AF26" s="564"/>
      <c r="AG26" s="566"/>
    </row>
    <row r="27" spans="1:33" ht="15" customHeight="1" thickBot="1">
      <c r="A27" s="51" t="s">
        <v>149</v>
      </c>
      <c r="D27" s="688" t="s">
        <v>564</v>
      </c>
      <c r="E27" s="688"/>
      <c r="F27" s="689"/>
      <c r="G27" s="126">
        <v>100</v>
      </c>
      <c r="H27" s="552">
        <v>0</v>
      </c>
      <c r="I27" s="126">
        <f>G27/100*H27</f>
        <v>0</v>
      </c>
      <c r="J27" s="573">
        <f t="shared" si="4"/>
        <v>0</v>
      </c>
      <c r="M27" s="61"/>
      <c r="N27" s="95">
        <f ca="1">X27-I27</f>
        <v>0</v>
      </c>
      <c r="O27" s="12"/>
      <c r="P27" s="64"/>
      <c r="S27" s="635" t="str">
        <f>D27</f>
        <v>Complemento que sólo absorbe subida de tablas</v>
      </c>
      <c r="T27" s="635"/>
      <c r="U27" s="636"/>
      <c r="V27" s="553">
        <v>100</v>
      </c>
      <c r="W27" s="554">
        <f ca="1">Y27*W12</f>
        <v>0</v>
      </c>
      <c r="X27" s="553">
        <f t="shared" ca="1" si="2"/>
        <v>0</v>
      </c>
      <c r="Y27" s="573">
        <f ca="1">IF(AE27&lt;&gt;"F",IF(J27-AB29&lt;0,0,J27-AB29),IF(J27-AB31&lt;0,0,J27-AB31))</f>
        <v>0</v>
      </c>
      <c r="Z27" s="560"/>
      <c r="AA27" s="579"/>
      <c r="AB27" s="579"/>
      <c r="AC27" s="582"/>
      <c r="AD27" s="582"/>
      <c r="AE27" s="608" t="str">
        <f>IF(AND(J25&gt;0,J26&gt;0,J27&gt;0),"A",IF(AND(J25&gt;0,J26=0,J27=0),"B",IF(AND(J25=0,J26&gt;0,J27=0),"C",IF(AND(J25=0,J26=0,J27&gt;0),"D",IF(AND(J25&gt;0,J26&gt;0,J27=0),"E",IF(AND(J25&gt;0,J26=0,J27&gt;0),"F",IF(AND(J25=0,J26&gt;0,J27&gt;0),"G","Z")))))))</f>
        <v>Z</v>
      </c>
      <c r="AF27" s="564"/>
      <c r="AG27" s="566"/>
    </row>
    <row r="28" spans="1:33" ht="15" customHeight="1" thickTop="1">
      <c r="A28" s="51" t="s">
        <v>149</v>
      </c>
      <c r="D28" s="678" t="s">
        <v>21</v>
      </c>
      <c r="E28" s="678"/>
      <c r="F28" s="679"/>
      <c r="G28" s="35">
        <v>100</v>
      </c>
      <c r="H28" s="35">
        <f>IF(ISBLANK(D28),0,(SUM(I19:I27)*2)/12)</f>
        <v>379.08738095238095</v>
      </c>
      <c r="I28" s="35">
        <f t="shared" si="0"/>
        <v>379.08738095238095</v>
      </c>
      <c r="J28" s="561"/>
      <c r="M28" s="61"/>
      <c r="N28" s="94">
        <f ca="1">W28-H28</f>
        <v>14.790115939813404</v>
      </c>
      <c r="O28" s="123"/>
      <c r="P28" s="82"/>
      <c r="S28" s="627" t="str">
        <f t="shared" ref="S28:S33" si="5">D28</f>
        <v>Prorrata Pagas Extraordinarias</v>
      </c>
      <c r="T28" s="627"/>
      <c r="U28" s="627"/>
      <c r="V28" s="553">
        <v>100</v>
      </c>
      <c r="W28" s="555">
        <f ca="1">IF(ISBLANK(D28),0,Y28)</f>
        <v>393.87749689219436</v>
      </c>
      <c r="X28" s="609">
        <f t="shared" ca="1" si="2"/>
        <v>393.87749689219436</v>
      </c>
      <c r="Y28" s="610">
        <f ca="1">IF(AND(S25="Complemento Absorbible 2025 (con Subida)",Y25&gt;X25),Y30,Y29)</f>
        <v>393.87749689219436</v>
      </c>
      <c r="AB28" s="592">
        <f ca="1">IF(J25-AB25&lt;0,0,J25-AB25)</f>
        <v>0</v>
      </c>
      <c r="AC28" s="593">
        <f ca="1">IF(AB28-AC25&lt;0,0,AB28-AC25)</f>
        <v>0</v>
      </c>
      <c r="AD28" s="598" t="s">
        <v>587</v>
      </c>
      <c r="AE28" s="698" t="s">
        <v>586</v>
      </c>
    </row>
    <row r="29" spans="1:33" ht="15" customHeight="1" thickBot="1">
      <c r="A29" s="51" t="s">
        <v>149</v>
      </c>
      <c r="D29" s="684" t="s">
        <v>22</v>
      </c>
      <c r="E29" s="684"/>
      <c r="F29" s="685"/>
      <c r="G29" s="37">
        <f>H29*100/17</f>
        <v>0</v>
      </c>
      <c r="H29" s="293">
        <v>0</v>
      </c>
      <c r="I29" s="37">
        <f>H29</f>
        <v>0</v>
      </c>
      <c r="J29" s="561"/>
      <c r="M29" s="61"/>
      <c r="N29" s="94">
        <f>IF(W29&gt;0,W29-H29,0)</f>
        <v>0</v>
      </c>
      <c r="O29" s="123"/>
      <c r="P29" s="82"/>
      <c r="S29" s="627" t="str">
        <f t="shared" si="5"/>
        <v>Gastos Teletrabajo</v>
      </c>
      <c r="T29" s="627"/>
      <c r="U29" s="627"/>
      <c r="V29" s="553">
        <f>G29</f>
        <v>0</v>
      </c>
      <c r="W29" s="555">
        <f>IF(ISBLANK(D29),0,IF(W14="Mes 2025 (Tablas 2024)",I29,I29*1.04))</f>
        <v>0</v>
      </c>
      <c r="X29" s="609">
        <f>W29</f>
        <v>0</v>
      </c>
      <c r="Y29" s="611">
        <f ca="1">(SUM(X19:X27)*2)/12</f>
        <v>393.87749689219436</v>
      </c>
      <c r="Z29" s="607"/>
      <c r="AB29" s="594">
        <f ca="1">IF(AB28&gt;0,0,AB25-J25)</f>
        <v>88.74069563888041</v>
      </c>
      <c r="AC29" s="595">
        <f ca="1">IF(AC28&gt;0,0,AC25-AB28)</f>
        <v>0</v>
      </c>
      <c r="AD29" s="599" t="s">
        <v>581</v>
      </c>
      <c r="AE29" s="699"/>
      <c r="AF29" s="564"/>
      <c r="AG29" s="566"/>
    </row>
    <row r="30" spans="1:33" ht="15" customHeight="1" thickTop="1">
      <c r="A30" s="51" t="s">
        <v>149</v>
      </c>
      <c r="D30" s="639" t="s">
        <v>448</v>
      </c>
      <c r="E30" s="639"/>
      <c r="F30" s="640"/>
      <c r="G30" s="35"/>
      <c r="H30" s="292">
        <v>0</v>
      </c>
      <c r="I30" s="35">
        <f>H30</f>
        <v>0</v>
      </c>
      <c r="J30" s="561"/>
      <c r="M30" s="61"/>
      <c r="N30" s="95">
        <f>IF(X30&gt;0,X30-I30,0)</f>
        <v>0</v>
      </c>
      <c r="O30" s="60"/>
      <c r="P30" s="82"/>
      <c r="S30" s="628" t="str">
        <f t="shared" si="5"/>
        <v>Σ Otros Conceptos Salariales (en PSI)</v>
      </c>
      <c r="T30" s="628"/>
      <c r="U30" s="628"/>
      <c r="V30" s="553"/>
      <c r="W30" s="555">
        <f>I30</f>
        <v>0</v>
      </c>
      <c r="X30" s="609">
        <f>W30</f>
        <v>0</v>
      </c>
      <c r="Y30" s="612">
        <f ca="1">((SUM(X19:X24)+Y25+SUM(X26:X27))*2)/12</f>
        <v>402.21083022552767</v>
      </c>
      <c r="AB30" s="596">
        <f ca="1">IF(AC30-AB25&lt;0,0,AC30-AB25)</f>
        <v>0</v>
      </c>
      <c r="AC30" s="597">
        <f ca="1">IF(J25-AC25&lt;0,0,J25-AC25)</f>
        <v>0</v>
      </c>
      <c r="AD30" s="598" t="s">
        <v>587</v>
      </c>
      <c r="AE30" s="698" t="s">
        <v>588</v>
      </c>
      <c r="AF30" s="558"/>
      <c r="AG30" s="551"/>
    </row>
    <row r="31" spans="1:33" ht="15" customHeight="1" thickBot="1">
      <c r="A31" s="51" t="s">
        <v>149</v>
      </c>
      <c r="D31" s="639" t="s">
        <v>449</v>
      </c>
      <c r="E31" s="639"/>
      <c r="F31" s="640"/>
      <c r="G31" s="35"/>
      <c r="H31" s="292">
        <v>0</v>
      </c>
      <c r="I31" s="35">
        <f>H31</f>
        <v>0</v>
      </c>
      <c r="J31" s="561"/>
      <c r="M31" s="61"/>
      <c r="N31" s="95">
        <f>IF(X31&gt;0,X31-I31,0)</f>
        <v>0</v>
      </c>
      <c r="O31" s="60"/>
      <c r="P31" s="82"/>
      <c r="S31" s="628" t="str">
        <f t="shared" si="5"/>
        <v>Σ Otros Conceptos Salariales (NO en PSI)</v>
      </c>
      <c r="T31" s="628"/>
      <c r="U31" s="641"/>
      <c r="V31" s="553"/>
      <c r="W31" s="555">
        <f>I31</f>
        <v>0</v>
      </c>
      <c r="X31" s="553">
        <f>W31</f>
        <v>0</v>
      </c>
      <c r="Z31" s="560"/>
      <c r="AB31" s="594">
        <f ca="1">IF(AB30&gt;0,0,AB25-AC30)</f>
        <v>88.74069563888041</v>
      </c>
      <c r="AC31" s="595">
        <f ca="1">IF(AC30&gt;0,0,AC25-J25)</f>
        <v>0</v>
      </c>
      <c r="AD31" s="599" t="s">
        <v>581</v>
      </c>
      <c r="AE31" s="699"/>
      <c r="AF31" s="558"/>
      <c r="AG31" s="551"/>
    </row>
    <row r="32" spans="1:33" ht="15" customHeight="1" thickTop="1">
      <c r="A32" s="51" t="s">
        <v>149</v>
      </c>
      <c r="D32" s="639" t="s">
        <v>450</v>
      </c>
      <c r="E32" s="639"/>
      <c r="F32" s="640"/>
      <c r="G32" s="35"/>
      <c r="H32" s="292">
        <v>0</v>
      </c>
      <c r="I32" s="35">
        <f>H32</f>
        <v>0</v>
      </c>
      <c r="J32" s="561"/>
      <c r="M32" s="61"/>
      <c r="N32" s="95">
        <f>IF(X32&gt;0,X32-I32,0)</f>
        <v>0</v>
      </c>
      <c r="O32" s="92"/>
      <c r="P32" s="93"/>
      <c r="S32" s="628" t="str">
        <f t="shared" si="5"/>
        <v>Σ Otros Conceptos EXTRASalariales (NO en PSI)</v>
      </c>
      <c r="T32" s="628"/>
      <c r="U32" s="628"/>
      <c r="V32" s="553"/>
      <c r="W32" s="555">
        <f>I32</f>
        <v>0</v>
      </c>
      <c r="X32" s="553">
        <f>W32</f>
        <v>0</v>
      </c>
      <c r="Y32" s="559"/>
      <c r="Z32" s="560"/>
      <c r="AF32" s="551"/>
      <c r="AG32" s="551"/>
    </row>
    <row r="33" spans="1:34" ht="15.5" customHeight="1">
      <c r="A33" s="51" t="s">
        <v>149</v>
      </c>
      <c r="D33" s="639" t="s">
        <v>154</v>
      </c>
      <c r="E33" s="639"/>
      <c r="F33" s="640"/>
      <c r="G33" s="35"/>
      <c r="H33" s="35"/>
      <c r="I33" s="292"/>
      <c r="J33" s="561"/>
      <c r="M33" s="61"/>
      <c r="N33" s="95">
        <f>IF(X33&lt;0,X33-I33,0)</f>
        <v>0</v>
      </c>
      <c r="O33" s="12"/>
      <c r="P33" s="64"/>
      <c r="S33" s="628" t="str">
        <f t="shared" si="5"/>
        <v>Seguro Médico, Guardería... (importe negativo)</v>
      </c>
      <c r="T33" s="628"/>
      <c r="U33" s="628"/>
      <c r="V33" s="553"/>
      <c r="W33" s="555"/>
      <c r="X33" s="556"/>
      <c r="Y33" s="559"/>
      <c r="Z33" s="560"/>
      <c r="AB33" s="700" t="s">
        <v>589</v>
      </c>
      <c r="AC33" s="700"/>
      <c r="AD33" s="700"/>
      <c r="AE33" s="700"/>
      <c r="AF33" s="551"/>
      <c r="AG33" s="551"/>
      <c r="AH33" s="59"/>
    </row>
    <row r="34" spans="1:34" ht="30" customHeight="1">
      <c r="A34" s="52"/>
      <c r="D34" s="17"/>
      <c r="E34" s="17"/>
      <c r="F34" s="17"/>
      <c r="G34" s="38"/>
      <c r="H34" s="38"/>
      <c r="I34" s="38"/>
      <c r="J34" s="38"/>
      <c r="M34" s="61"/>
      <c r="N34" s="125"/>
      <c r="O34" s="92"/>
      <c r="P34" s="93"/>
      <c r="S34" s="634">
        <f>VLOOKUP(AE27,LISTAS!M2:N9,2,)</f>
        <v>0</v>
      </c>
      <c r="T34" s="634"/>
      <c r="U34" s="634"/>
      <c r="V34" s="634"/>
      <c r="W34" s="634"/>
      <c r="X34" s="634"/>
      <c r="Y34" s="634"/>
      <c r="Z34" s="253"/>
      <c r="AB34" s="700"/>
      <c r="AC34" s="700"/>
      <c r="AD34" s="700"/>
      <c r="AE34" s="700"/>
    </row>
    <row r="35" spans="1:34" ht="15" customHeight="1">
      <c r="A35" s="51" t="s">
        <v>149</v>
      </c>
      <c r="D35" s="631" t="s">
        <v>144</v>
      </c>
      <c r="E35" s="631"/>
      <c r="F35" s="646"/>
      <c r="G35" s="37">
        <v>4.82</v>
      </c>
      <c r="H35" s="37">
        <f>IF(SUM(I19:I27)+SUM(I29:I32)+H40+((SUM(I19:I27)*2)/12)&gt;4909.5,4909.5,SUM(I19:I27)+SUM(I29:I32)+H40+((SUM(I19:I27)*2)/12))</f>
        <v>2655.8316666666665</v>
      </c>
      <c r="I35" s="37"/>
      <c r="J35" s="37">
        <f>G35/100*H35</f>
        <v>128.01108633333331</v>
      </c>
      <c r="M35" s="61"/>
      <c r="N35" s="353">
        <f ca="1">IF(Y35&gt;0,(Y35-J35)*-1,0)</f>
        <v>-5.2661213659175985</v>
      </c>
      <c r="O35" s="12"/>
      <c r="P35" s="64"/>
      <c r="S35" s="631" t="str">
        <f>D35</f>
        <v>Cotización Seguridad Social por Contingencias Comunes</v>
      </c>
      <c r="T35" s="631"/>
      <c r="U35" s="631"/>
      <c r="V35" s="37">
        <v>4.83</v>
      </c>
      <c r="W35" s="57">
        <f ca="1">SUM(X19:X27)+Y28+SUM(X29:X32)+W40</f>
        <v>2759.3624782453603</v>
      </c>
      <c r="X35" s="37"/>
      <c r="Y35" s="57">
        <f ca="1">V35/100*W35</f>
        <v>133.27720769925091</v>
      </c>
      <c r="AD35" s="575"/>
      <c r="AE35" s="575"/>
      <c r="AF35" s="59"/>
    </row>
    <row r="36" spans="1:34" ht="15" customHeight="1">
      <c r="A36" s="51" t="s">
        <v>149</v>
      </c>
      <c r="D36" s="632" t="s">
        <v>145</v>
      </c>
      <c r="E36" s="632"/>
      <c r="F36" s="633"/>
      <c r="G36" s="35">
        <v>1.65</v>
      </c>
      <c r="H36" s="35">
        <f>H35</f>
        <v>2655.8316666666665</v>
      </c>
      <c r="I36" s="35"/>
      <c r="J36" s="35">
        <f>G36/100*H36</f>
        <v>43.821222499999998</v>
      </c>
      <c r="M36" s="61"/>
      <c r="N36" s="353">
        <f ca="1">IF(Y36&gt;0,(Y36-J36)*-1,0)</f>
        <v>-1.708258391048453</v>
      </c>
      <c r="O36" s="12"/>
      <c r="P36" s="64"/>
      <c r="S36" s="46" t="str">
        <f>D36</f>
        <v>Cotización Seguridad Social por Desempleo / FP</v>
      </c>
      <c r="T36" s="31"/>
      <c r="U36" s="31"/>
      <c r="V36" s="35">
        <v>1.65</v>
      </c>
      <c r="W36" s="58">
        <f ca="1">W35</f>
        <v>2759.3624782453603</v>
      </c>
      <c r="X36" s="35"/>
      <c r="Y36" s="58">
        <f ca="1">V36/100*W36</f>
        <v>45.529480891048451</v>
      </c>
      <c r="AD36" s="575"/>
      <c r="AE36" s="575"/>
    </row>
    <row r="37" spans="1:34" ht="15" customHeight="1">
      <c r="A37" s="51" t="s">
        <v>149</v>
      </c>
      <c r="D37" s="632" t="s">
        <v>24</v>
      </c>
      <c r="E37" s="632"/>
      <c r="F37" s="633"/>
      <c r="G37" s="292">
        <v>19.3</v>
      </c>
      <c r="H37" s="35">
        <f>SUM(I19:I31)+I33</f>
        <v>2653.6116666666667</v>
      </c>
      <c r="I37" s="35"/>
      <c r="J37" s="35">
        <f>G37/100*H37</f>
        <v>512.1470516666667</v>
      </c>
      <c r="M37" s="61"/>
      <c r="N37" s="353">
        <f ca="1">IF(Y37&gt;0,(Y37-J37)*-1,0)</f>
        <v>-19.981446634687927</v>
      </c>
      <c r="O37" s="12"/>
      <c r="P37" s="64"/>
      <c r="S37" s="46" t="str">
        <f>D37</f>
        <v>Retención a Cuenta IRPF</v>
      </c>
      <c r="T37" s="31"/>
      <c r="U37" s="31"/>
      <c r="V37" s="292">
        <v>19.3</v>
      </c>
      <c r="W37" s="58">
        <f ca="1">IF(AND(S25="Complemento Absorbible 2025 (con Subida)",Y25&gt;X25),SUM(X19:X23)+Y25+SUM(X26:X31)+X33,SUM(X19:X31)+X33)</f>
        <v>2757.1424782453605</v>
      </c>
      <c r="X37" s="35"/>
      <c r="Y37" s="58">
        <f ca="1">V37/100*W37</f>
        <v>532.12849830135463</v>
      </c>
    </row>
    <row r="38" spans="1:34" ht="15" customHeight="1">
      <c r="A38" s="51" t="s">
        <v>149</v>
      </c>
      <c r="D38" s="632" t="s">
        <v>482</v>
      </c>
      <c r="E38" s="632"/>
      <c r="F38" s="633"/>
      <c r="G38" s="35">
        <f>G37</f>
        <v>19.3</v>
      </c>
      <c r="H38" s="292">
        <v>0</v>
      </c>
      <c r="I38" s="35"/>
      <c r="J38" s="35">
        <f>(G38/100)*H38</f>
        <v>0</v>
      </c>
      <c r="M38" s="61"/>
      <c r="N38" s="353">
        <f>IF(Y38&gt;0,(Y38-J38)*-1,0)</f>
        <v>0</v>
      </c>
      <c r="O38" s="12"/>
      <c r="P38" s="64"/>
      <c r="S38" s="632" t="s">
        <v>482</v>
      </c>
      <c r="T38" s="632"/>
      <c r="U38" s="633"/>
      <c r="V38" s="35">
        <f>V37</f>
        <v>19.3</v>
      </c>
      <c r="W38" s="292">
        <f>H38</f>
        <v>0</v>
      </c>
      <c r="X38" s="35"/>
      <c r="Y38" s="35">
        <f>(V38/100)*W38</f>
        <v>0</v>
      </c>
    </row>
    <row r="39" spans="1:34" ht="15" customHeight="1">
      <c r="D39" s="17"/>
      <c r="E39" s="17"/>
      <c r="F39" s="17"/>
      <c r="G39" s="38"/>
      <c r="H39" s="276"/>
      <c r="I39" s="55"/>
      <c r="J39" s="55"/>
      <c r="M39" s="61"/>
      <c r="N39" s="124"/>
      <c r="O39" s="12"/>
      <c r="P39" s="64"/>
      <c r="S39" s="17"/>
      <c r="T39" s="17"/>
      <c r="U39" s="17"/>
      <c r="V39" s="38"/>
      <c r="W39" s="55"/>
      <c r="X39" s="38"/>
      <c r="Y39" s="55"/>
    </row>
    <row r="40" spans="1:34" ht="15" customHeight="1">
      <c r="D40" s="631" t="s">
        <v>150</v>
      </c>
      <c r="E40" s="631"/>
      <c r="F40" s="646"/>
      <c r="G40" s="37"/>
      <c r="H40" s="600">
        <v>2.2200000000000002</v>
      </c>
      <c r="I40" s="55"/>
      <c r="J40" s="55"/>
      <c r="M40" s="65"/>
      <c r="N40" s="66"/>
      <c r="O40" s="66"/>
      <c r="P40" s="67"/>
      <c r="S40" s="631" t="str">
        <f>D40</f>
        <v>Seg. Accidente Emp.</v>
      </c>
      <c r="T40" s="631"/>
      <c r="U40" s="631"/>
      <c r="V40" s="37"/>
      <c r="W40" s="601">
        <v>2.2200000000000002</v>
      </c>
      <c r="X40" s="38"/>
      <c r="Y40" s="55"/>
    </row>
    <row r="41" spans="1:34" ht="3.5" customHeight="1">
      <c r="D41" s="91"/>
      <c r="E41" s="91"/>
      <c r="F41" s="91"/>
      <c r="G41" s="55"/>
      <c r="H41" s="55"/>
      <c r="I41" s="55"/>
      <c r="J41" s="55"/>
      <c r="S41" s="91"/>
      <c r="T41" s="91"/>
      <c r="U41" s="91"/>
      <c r="V41" s="55"/>
      <c r="W41" s="55"/>
      <c r="X41" s="55"/>
      <c r="Y41" s="55"/>
    </row>
    <row r="42" spans="1:34" ht="3.5" customHeight="1">
      <c r="D42" s="91"/>
      <c r="E42" s="91"/>
      <c r="F42" s="91"/>
      <c r="G42" s="55"/>
      <c r="H42" s="55"/>
      <c r="I42" s="55"/>
      <c r="J42" s="55"/>
      <c r="M42" s="68"/>
      <c r="N42" s="69"/>
      <c r="O42" s="69"/>
      <c r="P42" s="70"/>
      <c r="S42" s="91"/>
      <c r="T42" s="91"/>
      <c r="U42" s="91"/>
      <c r="V42" s="55"/>
      <c r="W42" s="55"/>
      <c r="X42" s="55"/>
      <c r="Y42" s="55"/>
    </row>
    <row r="43" spans="1:34" ht="15.5">
      <c r="D43" s="638" t="str">
        <f>IF(H35&lt;=F45,CONCATENATE("Para llegar al SMI faltan ",TEXT(F45-H35,"#.##0,00")),"")</f>
        <v/>
      </c>
      <c r="E43" s="638"/>
      <c r="F43" s="638"/>
      <c r="G43" s="638"/>
      <c r="H43" s="638"/>
      <c r="M43" s="61"/>
      <c r="N43" s="642" t="s">
        <v>152</v>
      </c>
      <c r="O43" s="643"/>
      <c r="P43" s="64"/>
      <c r="S43" s="638" t="str">
        <f ca="1">IF(W35-W40&lt;U45,CONCATENATE("Para llegar al SMI te faltan ",TEXT((U45-(W35-W40))*12,"#.##0,00")," € anuales."),IF(W35-W40=U45,"Cobras exactamente el SMI",""))</f>
        <v/>
      </c>
      <c r="T43" s="638"/>
      <c r="U43" s="638"/>
      <c r="V43" s="638"/>
      <c r="W43" s="638"/>
    </row>
    <row r="44" spans="1:34" ht="14" customHeight="1" thickBot="1">
      <c r="A44" s="84" t="s">
        <v>149</v>
      </c>
      <c r="D44" s="2"/>
      <c r="E44" s="2"/>
      <c r="F44" s="2"/>
      <c r="G44" s="2"/>
      <c r="H44" s="87" t="s">
        <v>25</v>
      </c>
      <c r="I44" s="32">
        <f>SUM(I19:I33)</f>
        <v>2653.6116666666667</v>
      </c>
      <c r="J44" s="32">
        <f>SUM(J35:J38)</f>
        <v>683.97936049999998</v>
      </c>
      <c r="M44" s="61"/>
      <c r="N44" s="644" t="s">
        <v>153</v>
      </c>
      <c r="O44" s="645"/>
      <c r="P44" s="64"/>
      <c r="S44" s="2"/>
      <c r="T44" s="2"/>
      <c r="U44" s="2"/>
      <c r="V44" s="2"/>
      <c r="W44" s="90" t="s">
        <v>25</v>
      </c>
      <c r="X44" s="32">
        <f ca="1">IF(AND(S25=LISTAS!F23,Y25&gt;X25),SUM(X19:X23)+Y25+SUM(X26:X33),SUM(X19:X33))</f>
        <v>2757.1424782453605</v>
      </c>
      <c r="Y44" s="32">
        <f ca="1">SUM(Y35:Y38)</f>
        <v>710.93518689165398</v>
      </c>
    </row>
    <row r="45" spans="1:34" ht="14" customHeight="1" thickTop="1">
      <c r="A45" s="84" t="s">
        <v>149</v>
      </c>
      <c r="D45" s="252" t="s">
        <v>424</v>
      </c>
      <c r="E45" s="242">
        <v>1134</v>
      </c>
      <c r="F45" s="242">
        <f>E45+((E45*2)/12)</f>
        <v>1323</v>
      </c>
      <c r="G45" s="242">
        <f>E45*14</f>
        <v>15876</v>
      </c>
      <c r="H45" s="88" t="s">
        <v>26</v>
      </c>
      <c r="I45" s="116"/>
      <c r="J45" s="34">
        <f>I44-J44</f>
        <v>1969.6323061666667</v>
      </c>
      <c r="M45" s="65"/>
      <c r="N45" s="614">
        <f ca="1">Y45-J45</f>
        <v>76.574985187039829</v>
      </c>
      <c r="O45" s="66"/>
      <c r="P45" s="67"/>
      <c r="S45" s="277" t="s">
        <v>456</v>
      </c>
      <c r="T45" s="242">
        <v>1184</v>
      </c>
      <c r="U45" s="242">
        <f>T45+((T45*2)/12)</f>
        <v>1381.3333333333333</v>
      </c>
      <c r="V45" s="242">
        <f>T45*14</f>
        <v>16576</v>
      </c>
      <c r="W45" s="89" t="s">
        <v>26</v>
      </c>
      <c r="X45" s="33"/>
      <c r="Y45" s="34">
        <f ca="1">X44-Y44</f>
        <v>2046.2072913537065</v>
      </c>
    </row>
    <row r="46" spans="1:34">
      <c r="E46" s="117" t="s">
        <v>425</v>
      </c>
      <c r="F46" s="117" t="s">
        <v>457</v>
      </c>
      <c r="G46" s="117" t="s">
        <v>458</v>
      </c>
      <c r="S46" s="278"/>
      <c r="T46" s="117" t="s">
        <v>425</v>
      </c>
      <c r="U46" s="117" t="s">
        <v>457</v>
      </c>
      <c r="V46" s="117" t="s">
        <v>458</v>
      </c>
    </row>
    <row r="47" spans="1:34" ht="18" customHeight="1">
      <c r="N47" s="279"/>
      <c r="O47" s="279"/>
      <c r="P47" s="279"/>
    </row>
    <row r="48" spans="1:34" ht="18" customHeight="1">
      <c r="D48" s="53"/>
      <c r="H48" s="630" t="str">
        <f ca="1">CONCATENATE("Aumento Bruto Anual de Tablas y Antigüedad = ",TEXT(N12*14,"#.##0,00")," €.  &gt;&gt; Aumento Real Anual = ",TEXT(N60,"#.##0,00")," €.")</f>
        <v>Aumento Bruto Anual de Tablas y Antigüedad = 1.449,43 €.  &gt;&gt; Aumento Real Anual = 1.242,37 €.</v>
      </c>
      <c r="I48" s="630"/>
      <c r="J48" s="630"/>
      <c r="K48" s="630"/>
      <c r="L48" s="630"/>
      <c r="M48" s="630"/>
      <c r="N48" s="630"/>
      <c r="O48" s="630"/>
      <c r="P48" s="630"/>
      <c r="Q48" s="630"/>
      <c r="R48" s="630"/>
      <c r="S48" s="630"/>
      <c r="T48" s="630"/>
      <c r="U48" s="630"/>
      <c r="W48" s="59"/>
    </row>
    <row r="49" spans="8:25" ht="18.5">
      <c r="H49" s="188"/>
      <c r="I49" s="189"/>
      <c r="J49" s="190" t="s">
        <v>432</v>
      </c>
      <c r="K49" s="189"/>
      <c r="L49" s="189"/>
      <c r="M49" s="191"/>
      <c r="N49" s="192">
        <f ca="1">((N60*100)/J60)/100</f>
        <v>3.9015057432553429E-2</v>
      </c>
      <c r="O49" s="191"/>
      <c r="P49" s="191"/>
      <c r="Q49" s="191"/>
      <c r="R49" s="191"/>
      <c r="S49" s="193" t="s">
        <v>433</v>
      </c>
      <c r="T49" s="191"/>
      <c r="U49" s="194"/>
    </row>
    <row r="50" spans="8:25" ht="15.5">
      <c r="H50" s="195"/>
      <c r="I50" s="129" t="s">
        <v>18</v>
      </c>
      <c r="J50" s="130">
        <f t="shared" ref="J50:J58" si="6">H19*14</f>
        <v>26592.86</v>
      </c>
      <c r="K50" s="131"/>
      <c r="L50" s="131"/>
      <c r="M50" s="132"/>
      <c r="N50" s="130">
        <f>S50-J50</f>
        <v>1063.7099999999991</v>
      </c>
      <c r="O50" s="133"/>
      <c r="P50" s="134"/>
      <c r="Q50" s="133"/>
      <c r="R50" s="133"/>
      <c r="S50" s="135">
        <f t="shared" ref="S50:S55" si="7">W19*14</f>
        <v>27656.57</v>
      </c>
      <c r="T50" s="136" t="s">
        <v>146</v>
      </c>
      <c r="U50" s="196"/>
    </row>
    <row r="51" spans="8:25" ht="15.5">
      <c r="H51" s="197"/>
      <c r="I51" s="137" t="s">
        <v>428</v>
      </c>
      <c r="J51" s="138">
        <f t="shared" si="6"/>
        <v>1400</v>
      </c>
      <c r="K51" s="139"/>
      <c r="L51" s="139"/>
      <c r="M51" s="140"/>
      <c r="N51" s="138">
        <f t="shared" ref="N51:N59" si="8">S51-J51</f>
        <v>55.999825962884643</v>
      </c>
      <c r="O51" s="141"/>
      <c r="P51" s="142"/>
      <c r="Q51" s="141"/>
      <c r="R51" s="141"/>
      <c r="S51" s="143">
        <f t="shared" si="7"/>
        <v>1455.9998259628846</v>
      </c>
      <c r="T51" s="144" t="s">
        <v>428</v>
      </c>
      <c r="U51" s="198"/>
    </row>
    <row r="52" spans="8:25" ht="15.5">
      <c r="H52" s="197"/>
      <c r="I52" s="137" t="s">
        <v>19</v>
      </c>
      <c r="J52" s="138">
        <f t="shared" si="6"/>
        <v>2366.48</v>
      </c>
      <c r="K52" s="139"/>
      <c r="L52" s="139"/>
      <c r="M52" s="140"/>
      <c r="N52" s="138">
        <f t="shared" si="8"/>
        <v>94.659999999999854</v>
      </c>
      <c r="O52" s="141"/>
      <c r="P52" s="142"/>
      <c r="Q52" s="141"/>
      <c r="R52" s="141"/>
      <c r="S52" s="143">
        <f t="shared" si="7"/>
        <v>2461.14</v>
      </c>
      <c r="T52" s="144" t="s">
        <v>429</v>
      </c>
      <c r="U52" s="198"/>
    </row>
    <row r="53" spans="8:25" ht="15.5">
      <c r="H53" s="197"/>
      <c r="I53" s="137" t="s">
        <v>483</v>
      </c>
      <c r="J53" s="138">
        <f t="shared" si="6"/>
        <v>700</v>
      </c>
      <c r="K53" s="139"/>
      <c r="L53" s="139"/>
      <c r="M53" s="140"/>
      <c r="N53" s="138">
        <f t="shared" si="8"/>
        <v>27.999912981442321</v>
      </c>
      <c r="O53" s="141"/>
      <c r="P53" s="142"/>
      <c r="Q53" s="141"/>
      <c r="R53" s="141"/>
      <c r="S53" s="143">
        <f t="shared" si="7"/>
        <v>727.99991298144232</v>
      </c>
      <c r="T53" s="144" t="s">
        <v>430</v>
      </c>
      <c r="U53" s="198"/>
    </row>
    <row r="54" spans="8:25" ht="15.5">
      <c r="H54" s="197"/>
      <c r="I54" s="137" t="s">
        <v>20</v>
      </c>
      <c r="J54" s="138">
        <f t="shared" si="6"/>
        <v>0</v>
      </c>
      <c r="K54" s="139"/>
      <c r="L54" s="139"/>
      <c r="M54" s="140"/>
      <c r="N54" s="138">
        <f t="shared" ca="1" si="8"/>
        <v>0</v>
      </c>
      <c r="O54" s="141"/>
      <c r="P54" s="142"/>
      <c r="Q54" s="141"/>
      <c r="R54" s="141"/>
      <c r="S54" s="143">
        <f t="shared" ca="1" si="7"/>
        <v>0</v>
      </c>
      <c r="T54" s="144" t="s">
        <v>20</v>
      </c>
      <c r="U54" s="198"/>
    </row>
    <row r="55" spans="8:25" ht="15.5">
      <c r="H55" s="199"/>
      <c r="I55" s="145" t="s">
        <v>567</v>
      </c>
      <c r="J55" s="543">
        <f t="shared" si="6"/>
        <v>784</v>
      </c>
      <c r="K55" s="544"/>
      <c r="L55" s="544"/>
      <c r="M55" s="545"/>
      <c r="N55" s="543">
        <f>S55-J55</f>
        <v>0</v>
      </c>
      <c r="O55" s="546"/>
      <c r="P55" s="547"/>
      <c r="Q55" s="546"/>
      <c r="R55" s="546"/>
      <c r="S55" s="548">
        <f t="shared" si="7"/>
        <v>784</v>
      </c>
      <c r="T55" s="152" t="s">
        <v>567</v>
      </c>
      <c r="U55" s="200"/>
    </row>
    <row r="56" spans="8:25" ht="15.5" customHeight="1">
      <c r="H56" s="197"/>
      <c r="I56" s="137" t="s">
        <v>484</v>
      </c>
      <c r="J56" s="138">
        <f>H25*14</f>
        <v>0</v>
      </c>
      <c r="K56" s="139"/>
      <c r="L56" s="139"/>
      <c r="M56" s="140"/>
      <c r="N56" s="138">
        <f ca="1">S56-J56</f>
        <v>0</v>
      </c>
      <c r="O56" s="141"/>
      <c r="P56" s="142"/>
      <c r="Q56" s="141"/>
      <c r="R56" s="141"/>
      <c r="S56" s="143">
        <f ca="1">IF(AND(S25=LISTAS!F23,Y25&gt;X25),(Y25)*14,W25*14)</f>
        <v>0</v>
      </c>
      <c r="T56" s="144" t="s">
        <v>484</v>
      </c>
      <c r="U56" s="198"/>
      <c r="V56" s="637" t="str">
        <f ca="1">IF(AND(S25=LISTAS!F23,Y25-X25&gt;0),CONCATENATE("Tu nuevo complemento absorbible es de ",TEXT(Y25,"#.##0,00"),"€/mes que anualmente supone ",TEXT(Y25*14,"#.##0,00"),"€."," Ha aumentado en ",TEXT(Y25-X25,"#.##0,00"), "€/mes sobre el complemento absorbible que debería haber quedado tras la absorción. Por lo que el complemento absorbible ha incrementado ",TEXT((Y25-X25)*14,"#.##0,00")," € anuales."),"")</f>
        <v/>
      </c>
      <c r="W56" s="637"/>
      <c r="X56" s="637"/>
      <c r="Y56" s="637"/>
    </row>
    <row r="57" spans="8:25" ht="15.5">
      <c r="H57" s="197"/>
      <c r="I57" s="137" t="s">
        <v>565</v>
      </c>
      <c r="J57" s="138">
        <f>H26*14</f>
        <v>0</v>
      </c>
      <c r="K57" s="139"/>
      <c r="L57" s="139"/>
      <c r="M57" s="140"/>
      <c r="N57" s="138">
        <f t="shared" ca="1" si="8"/>
        <v>0</v>
      </c>
      <c r="O57" s="141"/>
      <c r="P57" s="142"/>
      <c r="Q57" s="141"/>
      <c r="R57" s="141"/>
      <c r="S57" s="143">
        <f ca="1">W26*14</f>
        <v>0</v>
      </c>
      <c r="T57" s="144" t="s">
        <v>565</v>
      </c>
      <c r="U57" s="198"/>
      <c r="V57" s="637"/>
      <c r="W57" s="637"/>
      <c r="X57" s="637"/>
      <c r="Y57" s="637"/>
    </row>
    <row r="58" spans="8:25" ht="15.5">
      <c r="H58" s="197"/>
      <c r="I58" s="137" t="s">
        <v>566</v>
      </c>
      <c r="J58" s="138">
        <f t="shared" si="6"/>
        <v>0</v>
      </c>
      <c r="K58" s="139"/>
      <c r="L58" s="139"/>
      <c r="M58" s="140"/>
      <c r="N58" s="138">
        <f t="shared" ca="1" si="8"/>
        <v>0</v>
      </c>
      <c r="O58" s="141"/>
      <c r="P58" s="142"/>
      <c r="Q58" s="141"/>
      <c r="R58" s="141"/>
      <c r="S58" s="143">
        <f ca="1">W27*14</f>
        <v>0</v>
      </c>
      <c r="T58" s="144" t="s">
        <v>566</v>
      </c>
      <c r="U58" s="198"/>
      <c r="V58" s="637"/>
      <c r="W58" s="637"/>
      <c r="X58" s="637"/>
      <c r="Y58" s="637"/>
    </row>
    <row r="59" spans="8:25" ht="15.5">
      <c r="H59" s="199"/>
      <c r="I59" s="145" t="s">
        <v>431</v>
      </c>
      <c r="J59" s="146">
        <f>H30*12</f>
        <v>0</v>
      </c>
      <c r="K59" s="147"/>
      <c r="L59" s="147"/>
      <c r="M59" s="148"/>
      <c r="N59" s="146">
        <f t="shared" si="8"/>
        <v>0</v>
      </c>
      <c r="O59" s="149"/>
      <c r="P59" s="150"/>
      <c r="Q59" s="149"/>
      <c r="R59" s="149"/>
      <c r="S59" s="151">
        <f>W30*12</f>
        <v>0</v>
      </c>
      <c r="T59" s="152" t="s">
        <v>431</v>
      </c>
      <c r="U59" s="200"/>
      <c r="V59" s="637"/>
      <c r="W59" s="637"/>
      <c r="X59" s="637"/>
      <c r="Y59" s="637"/>
    </row>
    <row r="60" spans="8:25" ht="18.5">
      <c r="H60" s="201"/>
      <c r="I60" s="202"/>
      <c r="J60" s="203">
        <f>SUM(J50:J59)</f>
        <v>31843.34</v>
      </c>
      <c r="K60" s="202"/>
      <c r="L60" s="202"/>
      <c r="M60" s="204"/>
      <c r="N60" s="205">
        <f ca="1">SUM(N50:N59)</f>
        <v>1242.3697389443259</v>
      </c>
      <c r="O60" s="204"/>
      <c r="P60" s="204"/>
      <c r="Q60" s="204"/>
      <c r="R60" s="204"/>
      <c r="S60" s="206">
        <f ca="1">SUM(S50:S59)</f>
        <v>33085.709738944322</v>
      </c>
      <c r="T60" s="204"/>
      <c r="U60" s="207"/>
      <c r="V60" s="637"/>
      <c r="W60" s="637"/>
      <c r="X60" s="637"/>
      <c r="Y60" s="637"/>
    </row>
    <row r="61" spans="8:25">
      <c r="V61" s="637"/>
      <c r="W61" s="637"/>
      <c r="X61" s="637"/>
      <c r="Y61" s="637"/>
    </row>
    <row r="62" spans="8:25" ht="18.5">
      <c r="H62" s="208"/>
      <c r="I62" s="209"/>
      <c r="J62" s="210" t="s">
        <v>454</v>
      </c>
      <c r="K62" s="209"/>
      <c r="L62" s="209"/>
      <c r="M62" s="211"/>
      <c r="N62" s="212"/>
      <c r="O62" s="211"/>
      <c r="P62" s="211"/>
      <c r="Q62" s="211"/>
      <c r="R62" s="211"/>
      <c r="S62" s="213" t="s">
        <v>455</v>
      </c>
      <c r="T62" s="211"/>
      <c r="U62" s="214"/>
      <c r="V62" s="637"/>
      <c r="W62" s="637"/>
      <c r="X62" s="637"/>
      <c r="Y62" s="637"/>
    </row>
    <row r="63" spans="8:25" ht="15.5">
      <c r="H63" s="215"/>
      <c r="I63" s="153" t="s">
        <v>22</v>
      </c>
      <c r="J63" s="156">
        <f>H29*12</f>
        <v>0</v>
      </c>
      <c r="K63" s="157"/>
      <c r="L63" s="157"/>
      <c r="M63" s="158"/>
      <c r="N63" s="156">
        <f>S63-J63</f>
        <v>0</v>
      </c>
      <c r="O63" s="159"/>
      <c r="P63" s="160"/>
      <c r="Q63" s="159"/>
      <c r="R63" s="159"/>
      <c r="S63" s="161">
        <f>W29*12</f>
        <v>0</v>
      </c>
      <c r="T63" s="162" t="s">
        <v>22</v>
      </c>
      <c r="U63" s="216"/>
    </row>
    <row r="64" spans="8:25" ht="15.5">
      <c r="H64" s="217"/>
      <c r="I64" s="137" t="s">
        <v>150</v>
      </c>
      <c r="J64" s="138">
        <f>H40*12</f>
        <v>26.64</v>
      </c>
      <c r="K64" s="139"/>
      <c r="L64" s="139"/>
      <c r="M64" s="140"/>
      <c r="N64" s="138"/>
      <c r="O64" s="141"/>
      <c r="P64" s="142"/>
      <c r="Q64" s="141"/>
      <c r="R64" s="141"/>
      <c r="S64" s="143">
        <f>W40*12</f>
        <v>26.64</v>
      </c>
      <c r="T64" s="144" t="s">
        <v>150</v>
      </c>
      <c r="U64" s="218"/>
    </row>
    <row r="65" spans="8:21" ht="15.5">
      <c r="H65" s="219"/>
      <c r="I65" s="154" t="s">
        <v>431</v>
      </c>
      <c r="J65" s="146">
        <f>H31*12</f>
        <v>0</v>
      </c>
      <c r="K65" s="149"/>
      <c r="L65" s="149"/>
      <c r="M65" s="148"/>
      <c r="N65" s="147"/>
      <c r="O65" s="149"/>
      <c r="P65" s="150"/>
      <c r="Q65" s="149"/>
      <c r="R65" s="149"/>
      <c r="S65" s="151">
        <f>X31*12</f>
        <v>0</v>
      </c>
      <c r="T65" s="155" t="s">
        <v>431</v>
      </c>
      <c r="U65" s="220"/>
    </row>
    <row r="66" spans="8:21" ht="18.5">
      <c r="H66" s="221"/>
      <c r="I66" s="222"/>
      <c r="J66" s="223">
        <f>SUM(J63:J65)</f>
        <v>26.64</v>
      </c>
      <c r="K66" s="222"/>
      <c r="L66" s="222"/>
      <c r="M66" s="224"/>
      <c r="N66" s="227">
        <f>S66-J66</f>
        <v>0</v>
      </c>
      <c r="O66" s="224"/>
      <c r="P66" s="224"/>
      <c r="Q66" s="224"/>
      <c r="R66" s="224"/>
      <c r="S66" s="225">
        <f>SUM(S63:S65)</f>
        <v>26.64</v>
      </c>
      <c r="T66" s="224"/>
      <c r="U66" s="226"/>
    </row>
    <row r="68" spans="8:21" ht="18.5">
      <c r="H68" s="228"/>
      <c r="I68" s="229"/>
      <c r="J68" s="230" t="s">
        <v>434</v>
      </c>
      <c r="K68" s="229"/>
      <c r="L68" s="229"/>
      <c r="M68" s="231"/>
      <c r="N68" s="232">
        <f ca="1">((N69*100)/J69)/100</f>
        <v>3.8982444888397243E-2</v>
      </c>
      <c r="O68" s="231"/>
      <c r="P68" s="231"/>
      <c r="Q68" s="231"/>
      <c r="R68" s="231"/>
      <c r="S68" s="233" t="s">
        <v>435</v>
      </c>
      <c r="T68" s="231"/>
      <c r="U68" s="234"/>
    </row>
    <row r="69" spans="8:21" ht="18.5">
      <c r="H69" s="235"/>
      <c r="I69" s="236"/>
      <c r="J69" s="237">
        <f>J60+J66</f>
        <v>31869.98</v>
      </c>
      <c r="K69" s="236"/>
      <c r="L69" s="236"/>
      <c r="M69" s="238"/>
      <c r="N69" s="239">
        <f ca="1">S69-J69</f>
        <v>1242.3697389443223</v>
      </c>
      <c r="O69" s="238"/>
      <c r="P69" s="238"/>
      <c r="Q69" s="238"/>
      <c r="R69" s="238"/>
      <c r="S69" s="240">
        <f ca="1">S60+S66</f>
        <v>33112.349738944322</v>
      </c>
      <c r="T69" s="238"/>
      <c r="U69" s="241"/>
    </row>
  </sheetData>
  <sheetProtection algorithmName="SHA-512" hashValue="25bFVdlGlWbGR+9Rf/SjoSK61Qee8+CqnAiOLwuxMp3zgCF9+kDNXURhf6PtvWvPmj481nUU3s7VbRP92YPcRQ==" saltValue="YhMp1f9V1BgkDYb8NAmPZQ==" spinCount="100000" sheet="1" objects="1" scenarios="1" selectLockedCells="1"/>
  <mergeCells count="75">
    <mergeCell ref="AE28:AE29"/>
    <mergeCell ref="AE30:AE31"/>
    <mergeCell ref="AB33:AE34"/>
    <mergeCell ref="AB19:AB22"/>
    <mergeCell ref="AB26:AC26"/>
    <mergeCell ref="AA16:AA18"/>
    <mergeCell ref="AB16:AB18"/>
    <mergeCell ref="AC16:AC18"/>
    <mergeCell ref="AA10:AA14"/>
    <mergeCell ref="D21:F21"/>
    <mergeCell ref="D23:F23"/>
    <mergeCell ref="N7:N8"/>
    <mergeCell ref="D30:F30"/>
    <mergeCell ref="D19:F19"/>
    <mergeCell ref="D20:F20"/>
    <mergeCell ref="D22:F22"/>
    <mergeCell ref="D28:F28"/>
    <mergeCell ref="D25:F25"/>
    <mergeCell ref="F12:G12"/>
    <mergeCell ref="H14:I14"/>
    <mergeCell ref="D14:F14"/>
    <mergeCell ref="D29:F29"/>
    <mergeCell ref="D26:F26"/>
    <mergeCell ref="D24:F24"/>
    <mergeCell ref="D27:F27"/>
    <mergeCell ref="S24:U24"/>
    <mergeCell ref="S12:T12"/>
    <mergeCell ref="S16:Y16"/>
    <mergeCell ref="W14:X14"/>
    <mergeCell ref="S23:U23"/>
    <mergeCell ref="N9:O9"/>
    <mergeCell ref="N11:O11"/>
    <mergeCell ref="N13:O13"/>
    <mergeCell ref="S22:U22"/>
    <mergeCell ref="S19:U19"/>
    <mergeCell ref="S20:U20"/>
    <mergeCell ref="S21:U21"/>
    <mergeCell ref="S14:U14"/>
    <mergeCell ref="N18:O18"/>
    <mergeCell ref="E2:I2"/>
    <mergeCell ref="T2:X2"/>
    <mergeCell ref="E1:I1"/>
    <mergeCell ref="N2:O2"/>
    <mergeCell ref="N6:O6"/>
    <mergeCell ref="N1:O1"/>
    <mergeCell ref="N4:O4"/>
    <mergeCell ref="N5:O5"/>
    <mergeCell ref="D4:I4"/>
    <mergeCell ref="V56:Y62"/>
    <mergeCell ref="D43:H43"/>
    <mergeCell ref="S43:W43"/>
    <mergeCell ref="D31:F31"/>
    <mergeCell ref="S31:U31"/>
    <mergeCell ref="S33:U33"/>
    <mergeCell ref="D36:F36"/>
    <mergeCell ref="S40:U40"/>
    <mergeCell ref="N43:O43"/>
    <mergeCell ref="N44:O44"/>
    <mergeCell ref="D37:F37"/>
    <mergeCell ref="D35:F35"/>
    <mergeCell ref="D33:F33"/>
    <mergeCell ref="D32:F32"/>
    <mergeCell ref="D40:F40"/>
    <mergeCell ref="D38:F38"/>
    <mergeCell ref="S28:U28"/>
    <mergeCell ref="S29:U29"/>
    <mergeCell ref="S30:U30"/>
    <mergeCell ref="S25:U25"/>
    <mergeCell ref="H48:U48"/>
    <mergeCell ref="S35:U35"/>
    <mergeCell ref="S38:U38"/>
    <mergeCell ref="S32:U32"/>
    <mergeCell ref="S34:Y34"/>
    <mergeCell ref="S27:U27"/>
    <mergeCell ref="S26:U26"/>
  </mergeCells>
  <conditionalFormatting sqref="D23">
    <cfRule type="expression" dxfId="442" priority="182">
      <formula>$H$23=0</formula>
    </cfRule>
  </conditionalFormatting>
  <conditionalFormatting sqref="D25">
    <cfRule type="expression" dxfId="441" priority="263">
      <formula>ISBLANK($D$25)</formula>
    </cfRule>
  </conditionalFormatting>
  <conditionalFormatting sqref="D26">
    <cfRule type="expression" dxfId="440" priority="205">
      <formula>ISBLANK($D$26)</formula>
    </cfRule>
  </conditionalFormatting>
  <conditionalFormatting sqref="D29">
    <cfRule type="expression" dxfId="439" priority="261">
      <formula>ISBLANK($D$29)</formula>
    </cfRule>
  </conditionalFormatting>
  <conditionalFormatting sqref="D30">
    <cfRule type="expression" dxfId="438" priority="287">
      <formula>ISBLANK(#REF!)</formula>
    </cfRule>
    <cfRule type="expression" dxfId="437" priority="212">
      <formula>ISBLANK($D$30)</formula>
    </cfRule>
  </conditionalFormatting>
  <conditionalFormatting sqref="D32">
    <cfRule type="expression" dxfId="436" priority="194">
      <formula>ISBLANK($D$32)</formula>
    </cfRule>
  </conditionalFormatting>
  <conditionalFormatting sqref="D19:F19">
    <cfRule type="expression" dxfId="435" priority="123">
      <formula>OR(ISBLANK($D$14),ISBLANK($H$12))</formula>
    </cfRule>
  </conditionalFormatting>
  <conditionalFormatting sqref="D20:F20">
    <cfRule type="expression" dxfId="434" priority="233">
      <formula>ISBLANK($D$20)</formula>
    </cfRule>
  </conditionalFormatting>
  <conditionalFormatting sqref="D21:F21">
    <cfRule type="expression" dxfId="433" priority="122">
      <formula>OR(ISBLANK($D$14),ISBLANK($H$12))</formula>
    </cfRule>
  </conditionalFormatting>
  <conditionalFormatting sqref="D22:F22">
    <cfRule type="expression" dxfId="432" priority="232">
      <formula>ISBLANK($D$22)</formula>
    </cfRule>
  </conditionalFormatting>
  <conditionalFormatting sqref="D23:F24">
    <cfRule type="expression" dxfId="431" priority="234">
      <formula>ISBLANK($J$12)</formula>
    </cfRule>
  </conditionalFormatting>
  <conditionalFormatting sqref="D24:F24">
    <cfRule type="expression" dxfId="430" priority="36">
      <formula>ISBLANK($D$24)</formula>
    </cfRule>
  </conditionalFormatting>
  <conditionalFormatting sqref="D27:F27">
    <cfRule type="expression" dxfId="429" priority="31">
      <formula>ISBLANK($D$27)</formula>
    </cfRule>
  </conditionalFormatting>
  <conditionalFormatting sqref="D28:F28">
    <cfRule type="expression" dxfId="428" priority="267">
      <formula>ISBLANK($D$28)</formula>
    </cfRule>
  </conditionalFormatting>
  <conditionalFormatting sqref="D31:F31">
    <cfRule type="expression" dxfId="427" priority="74">
      <formula>ISBLANK($D$31)</formula>
    </cfRule>
  </conditionalFormatting>
  <conditionalFormatting sqref="D33:F33">
    <cfRule type="expression" dxfId="426" priority="189">
      <formula>ISBLANK($D$33)</formula>
    </cfRule>
  </conditionalFormatting>
  <conditionalFormatting sqref="D43:H43">
    <cfRule type="expression" dxfId="425" priority="63">
      <formula>$D$43&lt;&gt;""</formula>
    </cfRule>
  </conditionalFormatting>
  <conditionalFormatting sqref="G20">
    <cfRule type="expression" dxfId="424" priority="226">
      <formula>ISBLANK($D$20)</formula>
    </cfRule>
    <cfRule type="expression" dxfId="423" priority="200">
      <formula>$H$20=0</formula>
    </cfRule>
  </conditionalFormatting>
  <conditionalFormatting sqref="G22">
    <cfRule type="expression" dxfId="422" priority="225">
      <formula>ISBLANK($D$22)</formula>
    </cfRule>
    <cfRule type="expression" dxfId="421" priority="199">
      <formula>$H$22=0</formula>
    </cfRule>
  </conditionalFormatting>
  <conditionalFormatting sqref="G23">
    <cfRule type="expression" dxfId="420" priority="2">
      <formula>$H$23=0</formula>
    </cfRule>
  </conditionalFormatting>
  <conditionalFormatting sqref="G24">
    <cfRule type="expression" dxfId="419" priority="37">
      <formula>OR(ISBLANK($D$24),$H$24=0)</formula>
    </cfRule>
  </conditionalFormatting>
  <conditionalFormatting sqref="G25">
    <cfRule type="expression" dxfId="418" priority="259">
      <formula>ISBLANK($D$25)</formula>
    </cfRule>
    <cfRule type="expression" dxfId="417" priority="198">
      <formula>$H$25=0</formula>
    </cfRule>
  </conditionalFormatting>
  <conditionalFormatting sqref="G26:G27">
    <cfRule type="expression" dxfId="416" priority="204">
      <formula>ISBLANK($D$26)</formula>
    </cfRule>
    <cfRule type="expression" dxfId="415" priority="195">
      <formula>$H$26=0</formula>
    </cfRule>
  </conditionalFormatting>
  <conditionalFormatting sqref="G27 I27">
    <cfRule type="expression" dxfId="414" priority="26">
      <formula>$H$27=0</formula>
    </cfRule>
  </conditionalFormatting>
  <conditionalFormatting sqref="G29">
    <cfRule type="expression" dxfId="413" priority="206">
      <formula>$G$29=0</formula>
    </cfRule>
    <cfRule type="expression" dxfId="412" priority="197">
      <formula>$H$29=0</formula>
    </cfRule>
  </conditionalFormatting>
  <conditionalFormatting sqref="G37">
    <cfRule type="expression" dxfId="411" priority="50">
      <formula>$G$37=0</formula>
    </cfRule>
  </conditionalFormatting>
  <conditionalFormatting sqref="G19:H19">
    <cfRule type="expression" dxfId="410" priority="174">
      <formula>$H$19=0</formula>
    </cfRule>
  </conditionalFormatting>
  <conditionalFormatting sqref="G21:H21">
    <cfRule type="expression" dxfId="409" priority="171">
      <formula>$H$21=0</formula>
    </cfRule>
  </conditionalFormatting>
  <conditionalFormatting sqref="G28:H28">
    <cfRule type="expression" dxfId="408" priority="170">
      <formula>$H$28=0</formula>
    </cfRule>
  </conditionalFormatting>
  <conditionalFormatting sqref="H12">
    <cfRule type="expression" dxfId="407" priority="47">
      <formula>$H$12=0</formula>
    </cfRule>
  </conditionalFormatting>
  <conditionalFormatting sqref="H20">
    <cfRule type="expression" dxfId="406" priority="230">
      <formula>AND(ISBLANK($D$20),$H$20&gt;0)</formula>
    </cfRule>
    <cfRule type="expression" dxfId="405" priority="227">
      <formula>AND(ISBLANK($D$20),$H$20=0)</formula>
    </cfRule>
    <cfRule type="expression" dxfId="404" priority="229">
      <formula>AND(NOT(ISBLANK($D$20)),$H$20=0)</formula>
    </cfRule>
  </conditionalFormatting>
  <conditionalFormatting sqref="H22">
    <cfRule type="expression" dxfId="403" priority="224">
      <formula>AND(ISBLANK($D$22),$H$22=0)</formula>
    </cfRule>
    <cfRule type="expression" dxfId="402" priority="223">
      <formula>AND(ISBLANK($D$22),$H$22&gt;0)</formula>
    </cfRule>
    <cfRule type="expression" dxfId="401" priority="222">
      <formula>AND(NOT(ISBLANK($D$22)),$H$22=0)</formula>
    </cfRule>
  </conditionalFormatting>
  <conditionalFormatting sqref="H23">
    <cfRule type="cellIs" dxfId="400" priority="3" operator="equal">
      <formula>0</formula>
    </cfRule>
  </conditionalFormatting>
  <conditionalFormatting sqref="H24">
    <cfRule type="expression" dxfId="399" priority="38">
      <formula>AND(NOT(ISBLANK($D$24)),$H$24=0)</formula>
    </cfRule>
    <cfRule type="expression" dxfId="398" priority="39">
      <formula>AND(ISBLANK($D$24),$H$24=0)</formula>
    </cfRule>
    <cfRule type="expression" dxfId="397" priority="40">
      <formula>AND(ISBLANK($D$24),$H$24&gt;0)</formula>
    </cfRule>
  </conditionalFormatting>
  <conditionalFormatting sqref="H25">
    <cfRule type="expression" dxfId="396" priority="255">
      <formula>AND(ISBLANK($D$25),$H$25&gt;0)</formula>
    </cfRule>
    <cfRule type="expression" dxfId="395" priority="256">
      <formula>AND(NOT(ISBLANK($D$25)),$H$25=0)</formula>
    </cfRule>
    <cfRule type="expression" dxfId="394" priority="258">
      <formula>$H$25=0</formula>
    </cfRule>
    <cfRule type="expression" dxfId="393" priority="260">
      <formula>ISBLANK($D$25)</formula>
    </cfRule>
  </conditionalFormatting>
  <conditionalFormatting sqref="H26">
    <cfRule type="expression" dxfId="392" priority="202">
      <formula>AND(ISBLANK($D$26),$H$26&gt;0)</formula>
    </cfRule>
    <cfRule type="expression" dxfId="391" priority="201">
      <formula>AND(NOT(ISBLANK($D$26)),$H$26=0)</formula>
    </cfRule>
    <cfRule type="expression" dxfId="390" priority="203">
      <formula>AND(ISBLANK($D$26),$H$26=0)</formula>
    </cfRule>
  </conditionalFormatting>
  <conditionalFormatting sqref="H27">
    <cfRule type="expression" dxfId="389" priority="29">
      <formula>AND(ISBLANK($D$27),$H$27=0)</formula>
    </cfRule>
    <cfRule type="expression" dxfId="388" priority="30">
      <formula>AND(ISBLANK($D$27),$H$27&gt;0)</formula>
    </cfRule>
    <cfRule type="expression" dxfId="387" priority="27">
      <formula>AND(NOT(ISBLANK($D$27)),$H$27=0)</formula>
    </cfRule>
  </conditionalFormatting>
  <conditionalFormatting sqref="H28">
    <cfRule type="expression" dxfId="386" priority="185">
      <formula>AND(ISBLANK($D$28),$H$28=0)</formula>
    </cfRule>
  </conditionalFormatting>
  <conditionalFormatting sqref="H29">
    <cfRule type="expression" dxfId="385" priority="253">
      <formula>AND(ISBLANK($D$29),$H$29&gt;0)</formula>
    </cfRule>
    <cfRule type="expression" dxfId="384" priority="219">
      <formula>AND(NOT(ISBLANK($D$29)),$H$29=0)</formula>
    </cfRule>
    <cfRule type="expression" dxfId="383" priority="252">
      <formula>AND(ISBLANK($D$29),$H$29=0)</formula>
    </cfRule>
  </conditionalFormatting>
  <conditionalFormatting sqref="H30">
    <cfRule type="expression" dxfId="382" priority="209">
      <formula>AND(NOT(ISBLANK($D$30)),$H$30=0)</formula>
    </cfRule>
    <cfRule type="expression" dxfId="381" priority="211">
      <formula>AND(ISBLANK($D$30),$H$30=0)</formula>
    </cfRule>
    <cfRule type="expression" dxfId="380" priority="210">
      <formula>AND(ISBLANK($D$30),OR($H$30&lt;0,$H$30&gt;0))</formula>
    </cfRule>
  </conditionalFormatting>
  <conditionalFormatting sqref="H31">
    <cfRule type="expression" dxfId="379" priority="73">
      <formula>AND(ISBLANK($D$31),$H$31=0)</formula>
    </cfRule>
    <cfRule type="expression" dxfId="378" priority="76">
      <formula>AND(NOT(ISBLANK($D$31)),$H$31=0)</formula>
    </cfRule>
    <cfRule type="expression" dxfId="377" priority="77">
      <formula>AND(ISBLANK($D$31),$H$31&gt;0)</formula>
    </cfRule>
  </conditionalFormatting>
  <conditionalFormatting sqref="H32">
    <cfRule type="expression" dxfId="376" priority="192">
      <formula>AND(ISBLANK($D$32),$H$32&gt;0)</formula>
    </cfRule>
    <cfRule type="expression" dxfId="375" priority="191">
      <formula>AND(NOT(ISBLANK($D$32)),$H$32=0)</formula>
    </cfRule>
    <cfRule type="expression" dxfId="374" priority="190">
      <formula>AND(ISBLANK($D$32),$H$32=0)</formula>
    </cfRule>
  </conditionalFormatting>
  <conditionalFormatting sqref="H38">
    <cfRule type="expression" dxfId="373" priority="51">
      <formula>$H$38=0</formula>
    </cfRule>
  </conditionalFormatting>
  <conditionalFormatting sqref="H10:J10 W10:Y10">
    <cfRule type="expression" dxfId="372" priority="8">
      <formula>ISBLANK($N$1)</formula>
    </cfRule>
  </conditionalFormatting>
  <conditionalFormatting sqref="I19">
    <cfRule type="expression" dxfId="371" priority="173">
      <formula>$I$19=0</formula>
    </cfRule>
  </conditionalFormatting>
  <conditionalFormatting sqref="I20">
    <cfRule type="expression" dxfId="370" priority="228">
      <formula>$I$20=0</formula>
    </cfRule>
  </conditionalFormatting>
  <conditionalFormatting sqref="I21">
    <cfRule type="expression" dxfId="369" priority="172">
      <formula>$I$21=0</formula>
    </cfRule>
  </conditionalFormatting>
  <conditionalFormatting sqref="I22">
    <cfRule type="expression" dxfId="368" priority="221">
      <formula>$I$22=0</formula>
    </cfRule>
  </conditionalFormatting>
  <conditionalFormatting sqref="I23">
    <cfRule type="expression" dxfId="367" priority="239">
      <formula>$I$23=0</formula>
    </cfRule>
  </conditionalFormatting>
  <conditionalFormatting sqref="I24">
    <cfRule type="expression" dxfId="366" priority="35">
      <formula>$I$24=0</formula>
    </cfRule>
  </conditionalFormatting>
  <conditionalFormatting sqref="I25">
    <cfRule type="expression" dxfId="365" priority="241">
      <formula>AND(NOT(ISBLANK($D$25)),$I$25=0)</formula>
    </cfRule>
    <cfRule type="expression" dxfId="364" priority="243">
      <formula>AND(ISBLANK($D$25),$I$25=0)</formula>
    </cfRule>
  </conditionalFormatting>
  <conditionalFormatting sqref="I26:I27">
    <cfRule type="expression" dxfId="363" priority="177">
      <formula>$I$26=0</formula>
    </cfRule>
  </conditionalFormatting>
  <conditionalFormatting sqref="I28">
    <cfRule type="expression" dxfId="362" priority="240">
      <formula>ISBLANK($D$28)</formula>
    </cfRule>
    <cfRule type="expression" dxfId="361" priority="169">
      <formula>$I$28=0</formula>
    </cfRule>
  </conditionalFormatting>
  <conditionalFormatting sqref="I29">
    <cfRule type="expression" dxfId="360" priority="237">
      <formula>AND(ISBLANK($D$29),$I$29=0)</formula>
    </cfRule>
    <cfRule type="expression" dxfId="359" priority="220">
      <formula>$I$29=0</formula>
    </cfRule>
  </conditionalFormatting>
  <conditionalFormatting sqref="I30">
    <cfRule type="expression" dxfId="358" priority="207">
      <formula>$I$30=0</formula>
    </cfRule>
  </conditionalFormatting>
  <conditionalFormatting sqref="I31">
    <cfRule type="expression" dxfId="357" priority="75">
      <formula>$I$31=0</formula>
    </cfRule>
  </conditionalFormatting>
  <conditionalFormatting sqref="I32">
    <cfRule type="expression" dxfId="356" priority="193">
      <formula>$I$32=0</formula>
    </cfRule>
  </conditionalFormatting>
  <conditionalFormatting sqref="I33">
    <cfRule type="expression" dxfId="355" priority="188">
      <formula>AND(ISBLANK($D$33),$I$33&lt;0)</formula>
    </cfRule>
    <cfRule type="expression" dxfId="354" priority="186">
      <formula>AND(NOT(ISBLANK($D$33)),$I$33=0)</formula>
    </cfRule>
    <cfRule type="expression" dxfId="353" priority="187">
      <formula>AND(ISBLANK($D$33),$I$33=0)</formula>
    </cfRule>
  </conditionalFormatting>
  <conditionalFormatting sqref="I50">
    <cfRule type="expression" dxfId="352" priority="23">
      <formula>$J$50=0</formula>
    </cfRule>
  </conditionalFormatting>
  <conditionalFormatting sqref="I51">
    <cfRule type="expression" dxfId="351" priority="99">
      <formula>$J$51=0</formula>
    </cfRule>
  </conditionalFormatting>
  <conditionalFormatting sqref="I52">
    <cfRule type="expression" dxfId="350" priority="22">
      <formula>$J$52=0</formula>
    </cfRule>
  </conditionalFormatting>
  <conditionalFormatting sqref="I53">
    <cfRule type="expression" dxfId="349" priority="98">
      <formula>$J$53=0</formula>
    </cfRule>
  </conditionalFormatting>
  <conditionalFormatting sqref="I54">
    <cfRule type="expression" dxfId="348" priority="21">
      <formula>$J$54=0</formula>
    </cfRule>
  </conditionalFormatting>
  <conditionalFormatting sqref="I55">
    <cfRule type="expression" dxfId="347" priority="95">
      <formula>$J$55=0</formula>
    </cfRule>
  </conditionalFormatting>
  <conditionalFormatting sqref="I56">
    <cfRule type="expression" dxfId="346" priority="97">
      <formula>$J$56=0</formula>
    </cfRule>
  </conditionalFormatting>
  <conditionalFormatting sqref="I57">
    <cfRule type="expression" dxfId="345" priority="20">
      <formula>$J$57=0</formula>
    </cfRule>
  </conditionalFormatting>
  <conditionalFormatting sqref="I58">
    <cfRule type="expression" dxfId="344" priority="19">
      <formula>$J$58=0</formula>
    </cfRule>
  </conditionalFormatting>
  <conditionalFormatting sqref="I59">
    <cfRule type="expression" dxfId="343" priority="94">
      <formula>$J$59=0</formula>
    </cfRule>
  </conditionalFormatting>
  <conditionalFormatting sqref="I64">
    <cfRule type="expression" dxfId="342" priority="12">
      <formula>$J$64=0</formula>
    </cfRule>
  </conditionalFormatting>
  <conditionalFormatting sqref="I65">
    <cfRule type="expression" dxfId="341" priority="61">
      <formula>$J$65=0</formula>
    </cfRule>
  </conditionalFormatting>
  <conditionalFormatting sqref="J50:J59 S50:S59 N50:N60 N63:N64 J63:J65 S63:S65">
    <cfRule type="cellIs" dxfId="340" priority="110" operator="equal">
      <formula>0</formula>
    </cfRule>
  </conditionalFormatting>
  <conditionalFormatting sqref="N7:N8 N10 N12">
    <cfRule type="cellIs" dxfId="339" priority="5" operator="equal">
      <formula>0</formula>
    </cfRule>
  </conditionalFormatting>
  <conditionalFormatting sqref="N14:N15">
    <cfRule type="expression" dxfId="338" priority="138">
      <formula>$N$14&lt;0</formula>
    </cfRule>
  </conditionalFormatting>
  <conditionalFormatting sqref="N19:N38">
    <cfRule type="cellIs" dxfId="337" priority="128" operator="lessThan">
      <formula>0</formula>
    </cfRule>
    <cfRule type="cellIs" dxfId="336" priority="129" operator="equal">
      <formula>0</formula>
    </cfRule>
  </conditionalFormatting>
  <conditionalFormatting sqref="N45 N50:N59">
    <cfRule type="cellIs" dxfId="335" priority="66" operator="lessThan">
      <formula>0</formula>
    </cfRule>
  </conditionalFormatting>
  <conditionalFormatting sqref="N63:N65">
    <cfRule type="cellIs" dxfId="334" priority="64" operator="lessThan">
      <formula>0</formula>
    </cfRule>
  </conditionalFormatting>
  <conditionalFormatting sqref="N66">
    <cfRule type="cellIs" dxfId="333" priority="80" operator="equal">
      <formula>0</formula>
    </cfRule>
  </conditionalFormatting>
  <conditionalFormatting sqref="N69">
    <cfRule type="cellIs" dxfId="332" priority="79" operator="equal">
      <formula>0</formula>
    </cfRule>
  </conditionalFormatting>
  <conditionalFormatting sqref="S23">
    <cfRule type="expression" dxfId="331" priority="153">
      <formula>OR(ISBLANK($J$12),$W$23=0)</formula>
    </cfRule>
  </conditionalFormatting>
  <conditionalFormatting sqref="S25">
    <cfRule type="expression" dxfId="330" priority="116">
      <formula>AND(NOT(ISBLANK($S$25)),NOT(ISBLANK($D$25)),$S$25&lt;&gt;$D$25)</formula>
    </cfRule>
    <cfRule type="expression" dxfId="329" priority="112">
      <formula>ISBLANK($S$25)</formula>
    </cfRule>
  </conditionalFormatting>
  <conditionalFormatting sqref="S30">
    <cfRule type="expression" dxfId="328" priority="104">
      <formula>ISBLANK($D$30)</formula>
    </cfRule>
  </conditionalFormatting>
  <conditionalFormatting sqref="S19:U19">
    <cfRule type="expression" dxfId="327" priority="121">
      <formula>OR(ISBLANK($S$14),ISBLANK($W$12))</formula>
    </cfRule>
  </conditionalFormatting>
  <conditionalFormatting sqref="S21:U21">
    <cfRule type="expression" dxfId="326" priority="120">
      <formula>OR(ISBLANK($S$14),ISBLANK($W$12))</formula>
    </cfRule>
  </conditionalFormatting>
  <conditionalFormatting sqref="S24:U24">
    <cfRule type="expression" dxfId="325" priority="41">
      <formula>ISBLANK($D$24)</formula>
    </cfRule>
  </conditionalFormatting>
  <conditionalFormatting sqref="S26:U26">
    <cfRule type="expression" dxfId="324" priority="108">
      <formula>ISBLANK($D$26)</formula>
    </cfRule>
  </conditionalFormatting>
  <conditionalFormatting sqref="S27:U27">
    <cfRule type="expression" dxfId="323" priority="25">
      <formula>ISBLANK($D$27)</formula>
    </cfRule>
  </conditionalFormatting>
  <conditionalFormatting sqref="S29:U29">
    <cfRule type="expression" dxfId="322" priority="105">
      <formula>ISBLANK($D$29)</formula>
    </cfRule>
  </conditionalFormatting>
  <conditionalFormatting sqref="S31:U31">
    <cfRule type="expression" dxfId="321" priority="78">
      <formula>ISBLANK($D$31)</formula>
    </cfRule>
  </conditionalFormatting>
  <conditionalFormatting sqref="S32:U32">
    <cfRule type="expression" dxfId="320" priority="109">
      <formula>ISBLANK($D$32)</formula>
    </cfRule>
  </conditionalFormatting>
  <conditionalFormatting sqref="S33:U33">
    <cfRule type="expression" dxfId="319" priority="111">
      <formula>ISBLANK($D$33)</formula>
    </cfRule>
  </conditionalFormatting>
  <conditionalFormatting sqref="S20:W20">
    <cfRule type="expression" dxfId="318" priority="72">
      <formula>$W$20=0</formula>
    </cfRule>
  </conditionalFormatting>
  <conditionalFormatting sqref="S22:W22">
    <cfRule type="expression" dxfId="317" priority="71">
      <formula>$W$22=0</formula>
    </cfRule>
  </conditionalFormatting>
  <conditionalFormatting sqref="S43:W43">
    <cfRule type="expression" dxfId="316" priority="62">
      <formula>$S$43&lt;&gt;""</formula>
    </cfRule>
  </conditionalFormatting>
  <conditionalFormatting sqref="S19:X19">
    <cfRule type="expression" dxfId="315" priority="43">
      <formula>$W$19=0</formula>
    </cfRule>
  </conditionalFormatting>
  <conditionalFormatting sqref="S21:X21">
    <cfRule type="expression" dxfId="314" priority="42">
      <formula>$W$21=0</formula>
    </cfRule>
  </conditionalFormatting>
  <conditionalFormatting sqref="S28:X28">
    <cfRule type="expression" dxfId="313" priority="140">
      <formula>ISBLANK($D$28)</formula>
    </cfRule>
  </conditionalFormatting>
  <conditionalFormatting sqref="S16:Y16">
    <cfRule type="expression" dxfId="312" priority="10">
      <formula>AND(NOT(ISBLANK(J12)),$Y$10&gt;$J$10)</formula>
    </cfRule>
  </conditionalFormatting>
  <conditionalFormatting sqref="S34:Y34">
    <cfRule type="cellIs" dxfId="311" priority="4" operator="equal">
      <formula>0</formula>
    </cfRule>
  </conditionalFormatting>
  <conditionalFormatting sqref="T50">
    <cfRule type="expression" dxfId="310" priority="18">
      <formula>$S$50=0</formula>
    </cfRule>
  </conditionalFormatting>
  <conditionalFormatting sqref="T51">
    <cfRule type="expression" dxfId="309" priority="92">
      <formula>$S$51=0</formula>
    </cfRule>
  </conditionalFormatting>
  <conditionalFormatting sqref="T52">
    <cfRule type="expression" dxfId="308" priority="17">
      <formula>$S$52=0</formula>
    </cfRule>
  </conditionalFormatting>
  <conditionalFormatting sqref="T53">
    <cfRule type="expression" dxfId="307" priority="91">
      <formula>$S$53=0</formula>
    </cfRule>
  </conditionalFormatting>
  <conditionalFormatting sqref="T54">
    <cfRule type="expression" dxfId="306" priority="16">
      <formula>$S$54=0</formula>
    </cfRule>
  </conditionalFormatting>
  <conditionalFormatting sqref="T55">
    <cfRule type="expression" dxfId="305" priority="15">
      <formula>$S$55=0</formula>
    </cfRule>
  </conditionalFormatting>
  <conditionalFormatting sqref="T56">
    <cfRule type="expression" dxfId="304" priority="90">
      <formula>$S$56=0</formula>
    </cfRule>
  </conditionalFormatting>
  <conditionalFormatting sqref="T57">
    <cfRule type="expression" dxfId="303" priority="14">
      <formula>$S$57=0</formula>
    </cfRule>
  </conditionalFormatting>
  <conditionalFormatting sqref="T58">
    <cfRule type="expression" dxfId="302" priority="13">
      <formula>$S$58=0</formula>
    </cfRule>
  </conditionalFormatting>
  <conditionalFormatting sqref="T59">
    <cfRule type="expression" dxfId="301" priority="87">
      <formula>$S$59=0</formula>
    </cfRule>
  </conditionalFormatting>
  <conditionalFormatting sqref="T63">
    <cfRule type="expression" dxfId="300" priority="96">
      <formula>$S$63=0</formula>
    </cfRule>
  </conditionalFormatting>
  <conditionalFormatting sqref="T64">
    <cfRule type="expression" dxfId="299" priority="11">
      <formula>$S$64=0</formula>
    </cfRule>
  </conditionalFormatting>
  <conditionalFormatting sqref="T65">
    <cfRule type="expression" dxfId="298" priority="60">
      <formula>$S$65=0</formula>
    </cfRule>
  </conditionalFormatting>
  <conditionalFormatting sqref="V14">
    <cfRule type="cellIs" dxfId="297" priority="284" operator="equal">
      <formula>$G$14</formula>
    </cfRule>
    <cfRule type="expression" dxfId="296" priority="168">
      <formula>NOT($G$14=$V$14)</formula>
    </cfRule>
  </conditionalFormatting>
  <conditionalFormatting sqref="V20">
    <cfRule type="expression" dxfId="295" priority="165">
      <formula>OR(ISBLANK($W$20),$W$20=0)</formula>
    </cfRule>
    <cfRule type="expression" dxfId="294" priority="163">
      <formula>ISBLANK($D$20)</formula>
    </cfRule>
  </conditionalFormatting>
  <conditionalFormatting sqref="V22">
    <cfRule type="expression" dxfId="293" priority="161">
      <formula>ISBLANK($D$22)</formula>
    </cfRule>
  </conditionalFormatting>
  <conditionalFormatting sqref="V29">
    <cfRule type="expression" dxfId="292" priority="106">
      <formula>$W$29=0</formula>
    </cfRule>
  </conditionalFormatting>
  <conditionalFormatting sqref="V37">
    <cfRule type="expression" dxfId="291" priority="130">
      <formula>$G$37&lt;&gt;$V$37</formula>
    </cfRule>
    <cfRule type="expression" dxfId="290" priority="49">
      <formula>$V$37=0</formula>
    </cfRule>
  </conditionalFormatting>
  <conditionalFormatting sqref="V23:W23">
    <cfRule type="expression" dxfId="289" priority="1">
      <formula>$W$23=0</formula>
    </cfRule>
  </conditionalFormatting>
  <conditionalFormatting sqref="V24:X24">
    <cfRule type="expression" dxfId="288" priority="34">
      <formula>$W$24=0</formula>
    </cfRule>
  </conditionalFormatting>
  <conditionalFormatting sqref="V25:X25">
    <cfRule type="expression" dxfId="287" priority="149">
      <formula>$W$25=0</formula>
    </cfRule>
  </conditionalFormatting>
  <conditionalFormatting sqref="V26:X26">
    <cfRule type="expression" dxfId="286" priority="24">
      <formula>$W$26=0</formula>
    </cfRule>
  </conditionalFormatting>
  <conditionalFormatting sqref="V27:X27">
    <cfRule type="expression" dxfId="285" priority="33">
      <formula>$W$27=0</formula>
    </cfRule>
  </conditionalFormatting>
  <conditionalFormatting sqref="W12">
    <cfRule type="expression" dxfId="284" priority="101">
      <formula>$H$12&lt;&gt;$W$12</formula>
    </cfRule>
    <cfRule type="expression" dxfId="283" priority="127">
      <formula>ISBLANK($H$12)</formula>
    </cfRule>
    <cfRule type="expression" dxfId="282" priority="46">
      <formula>$W$12=0</formula>
    </cfRule>
  </conditionalFormatting>
  <conditionalFormatting sqref="W20">
    <cfRule type="expression" dxfId="281" priority="164">
      <formula>AND(ISBLANK($D$20),$W$20&gt;0)</formula>
    </cfRule>
  </conditionalFormatting>
  <conditionalFormatting sqref="W22">
    <cfRule type="expression" dxfId="280" priority="137">
      <formula>AND(ISBLANK($D$22),$W$22&gt;0)</formula>
    </cfRule>
  </conditionalFormatting>
  <conditionalFormatting sqref="W38">
    <cfRule type="expression" dxfId="279" priority="52">
      <formula>OR($W$38&gt;$H$38,$W$38&lt;$H$38)</formula>
    </cfRule>
    <cfRule type="expression" dxfId="278" priority="48">
      <formula>$W$38=0</formula>
    </cfRule>
  </conditionalFormatting>
  <conditionalFormatting sqref="W14:X15">
    <cfRule type="expression" dxfId="277" priority="44">
      <formula>AND(MID(S14,1,6)="Area 5",$W$14="Mes 2025 (Tablas 2024)")</formula>
    </cfRule>
  </conditionalFormatting>
  <conditionalFormatting sqref="W25:X25">
    <cfRule type="expression" dxfId="276" priority="600">
      <formula>AND($S$25="Complemento Absorbible 2025 (con Subida)",$Y$25&gt;$X$25)</formula>
    </cfRule>
  </conditionalFormatting>
  <conditionalFormatting sqref="W29:X32">
    <cfRule type="cellIs" dxfId="275" priority="144" operator="equal">
      <formula>0</formula>
    </cfRule>
  </conditionalFormatting>
  <conditionalFormatting sqref="X20">
    <cfRule type="expression" dxfId="274" priority="162">
      <formula>$X$20=0</formula>
    </cfRule>
  </conditionalFormatting>
  <conditionalFormatting sqref="X22">
    <cfRule type="expression" dxfId="273" priority="159">
      <formula>$X$22=0</formula>
    </cfRule>
  </conditionalFormatting>
  <conditionalFormatting sqref="X23">
    <cfRule type="expression" dxfId="272" priority="154">
      <formula>$X$23=0</formula>
    </cfRule>
  </conditionalFormatting>
  <conditionalFormatting sqref="X33">
    <cfRule type="expression" dxfId="271" priority="53">
      <formula>AND($X$33&lt;0,$X$33&lt;&gt;$I$33)</formula>
    </cfRule>
    <cfRule type="expression" dxfId="270" priority="56">
      <formula>AND($S$33=0,$X$33&lt;0)</formula>
    </cfRule>
    <cfRule type="expression" dxfId="269" priority="57">
      <formula>$S$33=0</formula>
    </cfRule>
    <cfRule type="expression" dxfId="268" priority="58">
      <formula>AND(NOT(ISBLANK($S$33)),$X$33=0)</formula>
    </cfRule>
    <cfRule type="cellIs" dxfId="267" priority="102" operator="equal">
      <formula>0</formula>
    </cfRule>
  </conditionalFormatting>
  <conditionalFormatting sqref="Y25">
    <cfRule type="expression" dxfId="266" priority="604">
      <formula>$S$25="Complemento Absorbible 2025 (con Subida)"</formula>
    </cfRule>
    <cfRule type="expression" dxfId="265" priority="601">
      <formula>AND($S$25="Complemento Absorbible 2025 (con Subida)",$Y$25=0)</formula>
    </cfRule>
    <cfRule type="cellIs" dxfId="264" priority="602" operator="equal">
      <formula>0</formula>
    </cfRule>
  </conditionalFormatting>
  <conditionalFormatting sqref="Y26:Y27">
    <cfRule type="expression" dxfId="262" priority="7">
      <formula>ISBLANK($N$1)</formula>
    </cfRule>
  </conditionalFormatting>
  <conditionalFormatting sqref="Y28:Y30">
    <cfRule type="expression" dxfId="261" priority="6">
      <formula>ISBLANK($N$1)</formula>
    </cfRule>
  </conditionalFormatting>
  <conditionalFormatting sqref="AA16:AE27 Y19:Y24 J19:J33 AB28:AE30 AA31:AE34">
    <cfRule type="expression" dxfId="260" priority="9">
      <formula>ISBLANK($N$1)</formula>
    </cfRule>
  </conditionalFormatting>
  <dataValidations count="31">
    <dataValidation type="decimal" allowBlank="1" showErrorMessage="1" errorTitle="% JORNADA TRABAJADA" error="Valores permitidos entre el 50% y el 100%_x000a_Recuerda que el punto decimal debe ser una coma" promptTitle="% JORNADA TRABAJADA" prompt="Introduce el % de jornada que trabajes, ejemplos:_x000a__x000a_ - 0,5 o 50,00 para 50,00%_x000a_ - 0,8750 o 87,50 para 87,50%_x000a_ - 100 para 100,00%_x000a__x000a_Recuerda que el punto decimal debe ser una coma" sqref="H12" xr:uid="{00000000-0002-0000-0000-000000000000}">
      <formula1>0.5</formula1>
      <formula2>1</formula2>
    </dataValidation>
    <dataValidation type="date" allowBlank="1" showErrorMessage="1" errorTitle="ANTIGÜEDAD" error="Formato de Fecha_x000a_Debe ser anterior a HOY y posterior al 01/01/1975" promptTitle="ANTIGÜEDAD" prompt="-----_x000a_Formato de Fecha. Debe ser anterior a HOY y posterior al 01/01/1975_x000a_-----_x000a_Fecha de alta en la empresa _x000a_-----_x000a_Fecha a partir de la cual comienzan a calcularse tu antigüedad (tus trienios TIC)" sqref="J12" xr:uid="{00000000-0002-0000-0000-000001000000}">
      <formula1>27395</formula1>
      <formula2>TODAY()</formula2>
    </dataValidation>
    <dataValidation type="list" showErrorMessage="1" errorTitle="CATEGORÍA 2024" error="Debes seleccionar una categoría de la lista desplegable" promptTitle="CATEGORÍA 2024" prompt="Categoría o grupo profesional que tienes reconocido en tu nómina._x000a_Debe ser una del desplegable, que son las que contempla nuestro convenio sectorial en 2024." sqref="D14:F14" xr:uid="{00000000-0002-0000-0000-000002000000}">
      <formula1>categorias2024</formula1>
    </dataValidation>
    <dataValidation type="list" showErrorMessage="1" errorTitle="CATEGORÍA 2025" error="Debes seleccionar una categoría de la lista desplegable" promptTitle="CATEGORÍA 2025" prompt="Categoría o grupo profesional que tienes reconocido en tu nómina._x000a_Debe ser una del desplegable, que son las que contempla nuestro convenio sectorial en 2025._x000a_" sqref="S14:U14" xr:uid="{00000000-0002-0000-0000-000003000000}">
      <formula1>categorias2025</formula1>
    </dataValidation>
    <dataValidation type="list" showErrorMessage="1" errorTitle="PRORRATA PAGAS EXTRAORDINARIAS" error="Si no tienes este concepto en tu nómina, selecciona la opción en blanco del desplegable." promptTitle="PRORRATA PAGAS EXTRAORDINARIAS" prompt="-------_x000a_Si cobras en 14 pagas, cobras extra en verano y en navidad. En tu nómina no aparece el prorrateo de pagas extras. Selecciona la opción en blanco del desplegable._x000a_-------_x000a_Si cobras en 12 pagas. Selecciona la opción de Prorrata y se autocalculará._x000a__x000a_" sqref="D28:F28" xr:uid="{00000000-0002-0000-0000-000005000000}">
      <formula1>prorrata</formula1>
    </dataValidation>
    <dataValidation type="list" showErrorMessage="1" errorTitle="COMPLEMENTO ABSORBIBLE" error="Selecciona el concepto si lo tienes en la nómina o la opción en blanco si no lo tienes en nómina." promptTitle="COMPLEMENTO ABSORBIBLE" prompt="-----------_x000a_Si NO tienes complemento personal absorbible en tu nómina selecciona la opción en blanco del desplegable._x000a_-----------_x000a_Si tienes un complemento que absorbe todo (antigüedad y subidas salariales) selecciona la opción de complemento absorbible." sqref="D25:F25" xr:uid="{00000000-0002-0000-0000-000006000000}">
      <formula1>Complemento_Absorbible</formula1>
    </dataValidation>
    <dataValidation type="list" showErrorMessage="1" errorTitle="GASTOS TELETRABAJO" error="Si no tienes este concepto en tu nómina, selecciona la opción en blanco del desplegable." promptTitle="GASTOS TELETRABAJO" prompt="-----_x000a_Si teletrabajas todos los días del mes, te corresponden 17€ en 2024, según el convenio sectorial o la parte proporcional si teletrabajas algunos días. Elije la opción de Gastos Teletrabajo._x000a_-----_x000a_Si no teletrabajas elije la opción en blanco." sqref="D29:F29" xr:uid="{00000000-0002-0000-0000-000007000000}">
      <formula1>Gastos_Teletrabajo</formula1>
    </dataValidation>
    <dataValidation type="list" showErrorMessage="1" errorTitle="COMP. ABSORBE TRIENIO" error="Si no tienes este concepto en tu nómina, selecciona la opción en blanco del desplegable." promptTitle="COMP. ABSORBE TRIENIO" prompt="-----_x000a_Si tienes algún complemento que ÚNICAMENTE PUEDE ABSORBER LA ANTIGÜEDAD generada, pero no puede absorber las subidas salariales, elije esta opción._x000a_-----_x000a_Si no tienes este tipo de complemento elije la opción en blanco." sqref="D26:F26" xr:uid="{00000000-0002-0000-0000-000009000000}">
      <formula1 xml:space="preserve"> Complemento_absorbe_Antig</formula1>
    </dataValidation>
    <dataValidation type="list" showErrorMessage="1" errorTitle="OTROS CONCEPTOS SALARIALES" error="Si no tienes otros conceptos salariales en tu nómina, selecciona la opción en blanco del desplegable." promptTitle="OTROS CONCEPTOS SALARIALES" prompt="Introduce aquí la suma de otros conceptos de tu nómina que sean del tipo:_x000a_ - ayudas (por persona discapacitada, nacimiento...)_x000a_ - guardias / disponibilidades / turnicidad_x000a_  - vehículo empresa_x000a_ - etc_x000a_Si no tienes elije la opción en blanco" sqref="D30:F30" xr:uid="{00000000-0002-0000-0000-00000A000000}">
      <formula1>Otros_conceptos_PSI</formula1>
    </dataValidation>
    <dataValidation type="decimal" allowBlank="1" showErrorMessage="1" errorTitle="OTROS CONCEPTOS EXTRASALARIALES" error="Puedes introducir la cantidad que quieras entre 0 y 8.000 €._x000a_Recuerda que el punto decimal debe ser una coma." promptTitle="OTROS CONCEPTOS EXTRASALARIALES" prompt="Puedes introducir la cantidad que quieras entre 0 y 8.000€ _x000a_-----_x000a_Si aparece resaltado en naranja es que no tienes seleccionado el concepto pero hay un importe asociado. Modifica el importe a 0, para que no sea tenido en cuenta en los cálculos._x000a__x000a_" sqref="H32" xr:uid="{00000000-0002-0000-0000-00000B000000}">
      <formula1>0</formula1>
      <formula2>8000</formula2>
    </dataValidation>
    <dataValidation type="list" showErrorMessage="1" errorTitle="EX SALARIO BASE 2022" error="Selecciónalo si lo tienes, si NO lo tienes selecciona la opción en blanco." promptTitle="EX SALARIO BASE 2022" prompt="Si tienes este concepto seleccionalo del desplegable._x000a_Si no lo tienes selecciona la opción en blanco._x000a__x000a_Este concepto aparece con la reclasificación profesional del convenio cuando algunas personas acabaron con salarios base destino inferiores al origen." sqref="D20:F20" xr:uid="{00000000-0002-0000-0000-00000C000000}">
      <formula1>EX_SALARIO_BASE_2022</formula1>
    </dataValidation>
    <dataValidation type="list" showErrorMessage="1" errorTitle="EX PLUS CONVENIO 2022" error="Selecciónalo si lo tienes, si NO lo tienes selecciona la opción en blanco." promptTitle="EX PLUS CONVENIO 2022" prompt="Si tienes este concepto seleccionalo del desplegable._x000a_Si no lo tienes selecciona la opción en blanco._x000a__x000a_Este concepto aparece con la reclasificación profesional del convenio cuando algunas personas acabaron con plus convenio destino inferiores al origen." sqref="D22:F22" xr:uid="{00000000-0002-0000-0000-00000D000000}">
      <formula1>EX_PLUS_CONVENIO_2022</formula1>
    </dataValidation>
    <dataValidation type="decimal" allowBlank="1" showErrorMessage="1" errorTitle="EX SALARIO BASE 2022" error="Entre 0 y 4.000 €_x000a_Recuerda que el punto decimal aquí es una coma." promptTitle="EX SALARIO BASE 2022" prompt="Entre 0 y 4.000€_x000a_Recuerda que el punto decimal aquí es una coma._x000a_---_x000a_Si aparece resaltado en naranja es que no tienes seleccionado el concepto pero hay un importe asociado. Modifica el importe a 0, para que no sea tenido en cuenta en los cálculos." sqref="H20" xr:uid="{BD7A2D6A-6A4D-45EE-B003-EDBEC3F3BE66}">
      <formula1>0</formula1>
      <formula2>4000</formula2>
    </dataValidation>
    <dataValidation type="decimal" allowBlank="1" showErrorMessage="1" errorTitle="EX PLUS CONVENIO 2022" error="Entre 0 y 4.000 €_x000a_Recuerda que el punto decimal aquí es una coma." promptTitle="EX PLUS CONVENIO 2022" prompt="Entre 0 y 4.000€_x000a_Recuerda que el punto decimal aquí es una coma._x000a_---_x000a_Si aparece resaltado en naranja es que no tienes seleccionado el concepto pero hay un importe asociado. Modifica el importe a 0, para que no sea tenido en cuenta en los cálculos." sqref="H22" xr:uid="{E91D0E4C-F1F8-4BD8-B0FF-5C901369F7CE}">
      <formula1>0</formula1>
      <formula2>4000</formula2>
    </dataValidation>
    <dataValidation type="decimal" allowBlank="1" showErrorMessage="1" errorTitle="TELETRABAJO" error="Puedes introducir la cantidad que quieras entre 0 y 17€._x000a_Recuerda que el punto decimal debe ser una coma." promptTitle="TELETRABAJO" prompt="Puedes introducir la cantidad que quieras entre 0 y 17€ _x000a_-----_x000a_Si aparece resaltado en naranja es que no tienes seleccionado el concepto pero hay un importe asociado. Modifica el importe a 0, para que no sea tenido en cuenta en los cálculos._x000a__x000a_" sqref="H29" xr:uid="{5E67FCB0-2565-42ED-B229-7C37D53F4D9C}">
      <formula1>0</formula1>
      <formula2>17</formula2>
    </dataValidation>
    <dataValidation type="decimal" allowBlank="1" showErrorMessage="1" errorTitle="IRPF" error="Introduce tu IRPF (desde 0% al 47%)_x000a_Recuerda que el punto decimal es una coma." promptTitle="IRPF" prompt="Introduce tu IRPF (desde 0% al 47%)_x000a_Recuerda que el punto decimal es una coma." sqref="G37" xr:uid="{DFC327A8-E736-47AC-B766-72C9EF3B81B9}">
      <formula1>0</formula1>
      <formula2>47</formula2>
    </dataValidation>
    <dataValidation type="list" showErrorMessage="1" errorTitle="OTROS CONCEPTOS EXTRASALARIALES" error="Si no tienes otros conceptos extrasalariales en tu nómina, selecciona la opción en blanco del desplegable." promptTitle="OTROS CONCEPTOS EXTRASALARIALES" prompt="Introduce aquí gastos (Dietas, kilometraje), complementos por Incapacidad Temporal, indemnizaciones por traslado o despidos_x000a_------_x000a_Si no tienes, elije la opción en blanco" sqref="D32:F32" xr:uid="{4B9AF6A2-3A50-458F-89AE-B9DE744E35B1}">
      <formula1>Otros_conceptos_extrasalariales</formula1>
    </dataValidation>
    <dataValidation type="decimal" allowBlank="1" showErrorMessage="1" errorTitle="OTROS CONCEPTOS SALARIALES" error="Puedes introducir la cantidad que quieras entre 0 y 8.000 €._x000a_Recuerda que el punto decimal debe ser una coma." promptTitle="OTROS CONCEPTOS SALARIALES" prompt="Puedes introducir la cantidad que quieras entre 0 y 8.000€ _x000a_-----_x000a_Si aparece resaltado en naranja es que no tienes seleccionado el concepto pero hay un importe asociado. Modifica el importe a 0, para que no sea tenido en cuenta en los cálculos._x000a__x000a_" sqref="H30:H31" xr:uid="{937E9182-45B2-4513-8406-CFF9D2E2B476}">
      <formula1>0</formula1>
      <formula2>8000</formula2>
    </dataValidation>
    <dataValidation type="list" showErrorMessage="1" errorTitle="DESCUENTOS (cant. en negativo)" error="Si no tienes, selecciona la opción en blanco del desplegable." promptTitle="DESCUENTOS (cant. en negativo)" prompt="Introduce las cantidades en negativo que aparezcan en tu nómina._x000a_----_x000a_Si no tienes, selecciona la opción en blanco" sqref="D33:F33" xr:uid="{B85A2C47-CEBC-431F-964C-4442B3E6833E}">
      <formula1>Descuentos</formula1>
    </dataValidation>
    <dataValidation type="decimal" operator="lessThan" allowBlank="1" showErrorMessage="1" errorTitle="PAGOS EN NÓMINA (en negativo)" error="Valores inferiores a 0€" promptTitle="PAGOS EN NÓMINA (en negativo)" prompt="Introduce una cantidad menor que 0._x000a_-------------_x000a_Si aparece resaltado en naranja es porque tienes una cantidad introducida y no tienes el concepto seleccionado. Introduce un 0 para que no afecte a los cálculos." sqref="I33" xr:uid="{CDBC87C8-A091-46FA-9CB9-6C27604F0D22}">
      <formula1>0.1</formula1>
    </dataValidation>
    <dataValidation type="list" showInputMessage="1" showErrorMessage="1" sqref="S25:U25" xr:uid="{FF12A447-511F-4E76-8FFD-73A83F80BE03}">
      <formula1>Complemento_Absorbible_2025</formula1>
    </dataValidation>
    <dataValidation type="list" showErrorMessage="1" errorTitle="PERIODO DE LIQUIDACIÓN" error="Selecciona una opción del desplegable" promptTitle="PERIODO DE LIQUIDACIÓN" prompt="Mes 2025 (Tablas 2024) = No se aplica todavía la subida de tablas de 2025._x000a_-----_x000a_Mes 2025 (Tablas 2025) = Aplicada la subida de tablas de 2025._x000a_" sqref="W14:X14" xr:uid="{F96B32FA-19C2-4C22-A5B2-E59D12DB0BE2}">
      <formula1>subida</formula1>
    </dataValidation>
    <dataValidation type="decimal" operator="lessThan" allowBlank="1" showErrorMessage="1" errorTitle="PAGOS EN NÓMINA (en negativo)" error="Valores inferiores a 0€" promptTitle="PAGOS EN NÓMINA (en negativo)" prompt="Introduce una cantidad menor que 0._x000a_-------------_x000a_Si aparece resaltado en naranja es porque tienes una cantidad introducida y no tienes el concepto seleccionado. Introduce un 0 para que no afecte a los cálculos." sqref="X33" xr:uid="{6D5052A7-7362-4F4C-A010-0E0EADBDEA43}">
      <formula1>0</formula1>
    </dataValidation>
    <dataValidation type="decimal" operator="greaterThan" allowBlank="1" showInputMessage="1" showErrorMessage="1" errorTitle="AUMENTO en C. ABSORBIBLE en 2025" error="El valor ha de ser superior al propuesto por el simulador para el complemento absorbible" promptTitle="AUMENTA TU ABSORBIBLE en 2025" prompt="--------_x000a_En tu nómina de 2025 tienes un complemento absorbible superior al que ofrece el simulador._x000a__x000a_La empresa te ha subido el salario._x000a__x000a_Introduce aquí tu nuevo complemento absorbible de 2025" sqref="Y25" xr:uid="{9A65F9D2-9BC3-44F5-9A82-7BD28AC22CD7}">
      <formula1>X25</formula1>
    </dataValidation>
    <dataValidation type="decimal" allowBlank="1" showErrorMessage="1" errorTitle="IMPORTE NO EXENTO" error="Valor de cero o superior" promptTitle="IMPORTE NO EXENTO" prompt="Cantidad que tributa por superar el límite de importe exento en la contratación de un servicio._x000a_Ejemplo: El coste de un seguro médico está exento 500€ anuales por persona, si el seguro médico cuesta 650€ al año, 150€ del coste del seguro médico tributarán" sqref="W38 H38" xr:uid="{498A45CB-0F7E-4067-82AB-61DFD6B4B856}">
      <formula1>0</formula1>
      <formula2>4000</formula2>
    </dataValidation>
    <dataValidation showInputMessage="1" showErrorMessage="1" sqref="S26:U26 S24" xr:uid="{3F570212-84BC-4282-81A8-B3ADC4D95B1D}"/>
    <dataValidation type="list" showErrorMessage="1" errorTitle="COMP. ABSORBE TRIENIO" error="Si no tienes este concepto en tu nómina, selecciona la opción en blanco del desplegable." promptTitle="COMP. ABSORBE TRIENIO" prompt="-----_x000a_Si tienes algún complemento que ÚNICAMENTE PUEDE ABSORBER LA ANTIGÜEDAD generada, pero no puede absorber las subidas salariales, elije esta opción._x000a_-----_x000a_Si no tienes este tipo de complemento elije la opción en blanco." sqref="D24:F24" xr:uid="{7EB81B12-DE8B-4A40-AC3F-E5F301D44B62}">
      <formula1>consolidado</formula1>
    </dataValidation>
    <dataValidation type="decimal" allowBlank="1" showErrorMessage="1" errorTitle="COMPLEMENTO ABSORBIBLE" error="Admite valores entre 0 y 4.000€_x000a_Recuerda que el punto decimal aquí es una coma." promptTitle="COMPLEMENTO ABSORBIBLE" prompt="Entre 0 y 4.000€_x000a_Recuerda que el punto decimal aquí es una coma._x000a_---_x000a_Si aparece resaltado en naranja es que no tienes seleccionado el concepto pero hay un importe asociado. Modifica el importe a 0, para que no sea tenido en cuenta en los cálculos." sqref="H24:H26" xr:uid="{00000000-0002-0000-0000-000004000000}">
      <formula1>0</formula1>
      <formula2>4000</formula2>
    </dataValidation>
    <dataValidation type="decimal" allowBlank="1" showInputMessage="1" showErrorMessage="1" errorTitle="COMP. ABSORBE ANTIGÜEDAD" error="Entre 0 y 4.000 €_x000a_Recuerda que el punto decimal aquí es una coma." promptTitle="COMP. ABSORBE ANTIGÜEDAD" prompt="Entre 0 y 4.000€_x000a_Recuerda que el punto decimal aquí es una coma._x000a_---_x000a_Si aparece resaltado en naranja es que no tienes seleccionado el concepto pero hay un importe asociado. Modifica el importe a 0, para que no sea tenido en cuenta en los cálculos." sqref="H26 H24" xr:uid="{2ACB5849-D15C-495A-92E0-F380F0B2661E}">
      <formula1>0</formula1>
      <formula2>4000</formula2>
    </dataValidation>
    <dataValidation type="list" allowBlank="1" showInputMessage="1" showErrorMessage="1" sqref="D27:F27" xr:uid="{4BC05731-6A2B-4562-8659-FE7C9CA7D6F0}">
      <formula1>absorbe_solo_tablas</formula1>
    </dataValidation>
    <dataValidation type="list" allowBlank="1" showInputMessage="1" showErrorMessage="1" sqref="N1:O1" xr:uid="{D735B671-54BD-4C91-9175-9213A74D2119}">
      <formula1>ver</formula1>
    </dataValidation>
  </dataValidations>
  <hyperlinks>
    <hyperlink ref="D45" r:id="rId1" xr:uid="{BDCC47B0-EACC-4EA8-A590-CB002F01FA2A}"/>
  </hyperlinks>
  <printOptions horizontalCentered="1" verticalCentered="1"/>
  <pageMargins left="0.23622047244094491" right="0.23622047244094491" top="0.74803149606299213" bottom="0.74803149606299213" header="0.31496062992125984" footer="0.31496062992125984"/>
  <pageSetup paperSize="9" scale="62" fitToHeight="0" orientation="landscape" r:id="rId2"/>
  <rowBreaks count="1" manualBreakCount="1">
    <brk id="46" min="1" max="26" man="1"/>
  </rowBreaks>
  <colBreaks count="1" manualBreakCount="1">
    <brk id="3" max="64" man="1"/>
  </colBreaks>
  <ignoredErrors>
    <ignoredError sqref="I29 J64 S56 N25 J23" formula="1"/>
    <ignoredError sqref="W38 W12 S14" unlockedFormula="1"/>
  </ignoredError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603" id="{53BA7A73-7598-4F54-AD3A-5B57C9F8893A}">
            <xm:f>AND(OR(ISBLANK($S$25),$S$25=LISTAS!$F$22),$Y$25&gt;0)</xm:f>
            <x14:dxf>
              <font>
                <color theme="0"/>
              </font>
              <fill>
                <patternFill>
                  <bgColor theme="0"/>
                </patternFill>
              </fill>
            </x14:dxf>
          </x14:cfRule>
          <xm:sqref>Y25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xr:uid="{85FEF7C3-C04D-47B8-853E-04CDFCE71400}">
          <x14:formula1>
            <xm:f>LISTAS!$F$14:$F$15</xm:f>
          </x14:formula1>
          <xm:sqref>D31:F31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D953A-AB86-4EA0-BFDA-8C2F7513BD1B}">
  <sheetPr>
    <pageSetUpPr fitToPage="1"/>
  </sheetPr>
  <dimension ref="A1:AH69"/>
  <sheetViews>
    <sheetView showGridLines="0" showRowColHeaders="0" workbookViewId="0">
      <selection activeCell="H12" sqref="H12"/>
    </sheetView>
  </sheetViews>
  <sheetFormatPr baseColWidth="10" defaultRowHeight="14.5"/>
  <cols>
    <col min="1" max="1" width="4.36328125" style="1" customWidth="1"/>
    <col min="2" max="3" width="0.6328125" style="1" customWidth="1"/>
    <col min="4" max="10" width="14.6328125" style="1" customWidth="1"/>
    <col min="11" max="13" width="0.6328125" style="1" customWidth="1"/>
    <col min="14" max="14" width="14" style="1" customWidth="1"/>
    <col min="15" max="15" width="3.26953125" style="1" customWidth="1"/>
    <col min="16" max="18" width="0.6328125" style="1" customWidth="1"/>
    <col min="19" max="25" width="14.6328125" style="1" customWidth="1"/>
    <col min="26" max="26" width="0.6328125" style="1" customWidth="1"/>
    <col min="27" max="27" width="14.6328125" style="1" customWidth="1"/>
    <col min="28" max="28" width="10.90625" style="1"/>
    <col min="29" max="29" width="9.36328125" style="1" customWidth="1"/>
    <col min="30" max="30" width="20.6328125" style="1" customWidth="1"/>
    <col min="31" max="31" width="14.26953125" style="1" customWidth="1"/>
    <col min="32" max="32" width="10.54296875" style="1" customWidth="1"/>
    <col min="33" max="16384" width="10.90625" style="1"/>
  </cols>
  <sheetData>
    <row r="1" spans="1:34" ht="40" customHeight="1">
      <c r="F1" s="244">
        <v>2025</v>
      </c>
      <c r="G1" s="299" t="s">
        <v>598</v>
      </c>
      <c r="H1" s="615"/>
      <c r="I1" s="615"/>
      <c r="N1" s="652"/>
      <c r="O1" s="652"/>
      <c r="U1" s="244">
        <v>2025</v>
      </c>
      <c r="V1" s="299" t="str">
        <f>IF(W14=LISTAS!F28," (con tablas de 2025)",IF(W14=LISTAS!F27," (con tablas de 2024)",""))</f>
        <v xml:space="preserve"> (con tablas de 2025)</v>
      </c>
      <c r="W1" s="243"/>
      <c r="X1" s="243"/>
    </row>
    <row r="2" spans="1:34" s="3" customFormat="1" ht="28" customHeight="1">
      <c r="E2" s="647" t="s">
        <v>599</v>
      </c>
      <c r="F2" s="647"/>
      <c r="G2" s="647"/>
      <c r="H2" s="647"/>
      <c r="I2" s="647"/>
      <c r="J2" s="54"/>
      <c r="K2" s="36"/>
      <c r="L2" s="36"/>
      <c r="M2" s="36"/>
      <c r="N2" s="649" t="s">
        <v>559</v>
      </c>
      <c r="O2" s="649"/>
      <c r="P2" s="36"/>
      <c r="Q2" s="36"/>
      <c r="R2" s="36"/>
      <c r="T2" s="647" t="s">
        <v>600</v>
      </c>
      <c r="U2" s="647"/>
      <c r="V2" s="647"/>
      <c r="W2" s="647"/>
      <c r="X2" s="647"/>
      <c r="Y2" s="54"/>
      <c r="AG2" s="1"/>
    </row>
    <row r="3" spans="1:34" ht="3.5" customHeight="1">
      <c r="C3" s="5"/>
      <c r="D3" s="6"/>
      <c r="E3" s="6"/>
      <c r="F3" s="6"/>
      <c r="G3" s="6"/>
      <c r="H3" s="6"/>
      <c r="I3" s="6"/>
      <c r="J3" s="6"/>
      <c r="K3" s="7"/>
      <c r="L3" s="12"/>
      <c r="M3" s="68"/>
      <c r="N3" s="69"/>
      <c r="O3" s="69"/>
      <c r="P3" s="70"/>
      <c r="R3" s="5"/>
      <c r="S3" s="6"/>
      <c r="T3" s="6"/>
      <c r="U3" s="6"/>
      <c r="V3" s="6"/>
      <c r="W3" s="6"/>
      <c r="X3" s="6"/>
      <c r="Y3" s="6"/>
      <c r="Z3" s="7"/>
      <c r="AA3" s="12"/>
      <c r="AB3" s="12"/>
      <c r="AC3" s="12"/>
      <c r="AD3" s="12"/>
      <c r="AE3" s="12"/>
    </row>
    <row r="4" spans="1:34" s="23" customFormat="1" ht="14" customHeight="1">
      <c r="A4" s="84" t="s">
        <v>149</v>
      </c>
      <c r="C4" s="18"/>
      <c r="D4" s="657" t="s">
        <v>0</v>
      </c>
      <c r="E4" s="657"/>
      <c r="F4" s="657"/>
      <c r="G4" s="657"/>
      <c r="H4" s="657"/>
      <c r="I4" s="658"/>
      <c r="J4" s="16" t="s">
        <v>1</v>
      </c>
      <c r="K4" s="22"/>
      <c r="L4" s="44"/>
      <c r="M4" s="71"/>
      <c r="N4" s="653" t="s">
        <v>152</v>
      </c>
      <c r="O4" s="654"/>
      <c r="P4" s="62"/>
      <c r="R4" s="18"/>
      <c r="S4" s="568" t="s">
        <v>0</v>
      </c>
      <c r="T4" s="19"/>
      <c r="U4" s="20"/>
      <c r="V4" s="20"/>
      <c r="W4" s="20"/>
      <c r="X4" s="21"/>
      <c r="Y4" s="16" t="s">
        <v>1</v>
      </c>
      <c r="Z4" s="22"/>
      <c r="AA4" s="44"/>
      <c r="AB4" s="44"/>
      <c r="AC4" s="44"/>
      <c r="AD4" s="44"/>
      <c r="AE4" s="44"/>
      <c r="AF4" s="549"/>
      <c r="AG4" s="551"/>
      <c r="AH4" s="551"/>
    </row>
    <row r="5" spans="1:34" ht="14" customHeight="1" thickBot="1">
      <c r="C5" s="8"/>
      <c r="D5" s="120"/>
      <c r="E5" s="121"/>
      <c r="F5" s="121"/>
      <c r="G5" s="121"/>
      <c r="H5" s="121"/>
      <c r="I5" s="121"/>
      <c r="J5" s="84"/>
      <c r="K5" s="11"/>
      <c r="L5" s="12"/>
      <c r="M5" s="61"/>
      <c r="N5" s="655" t="s">
        <v>461</v>
      </c>
      <c r="O5" s="656"/>
      <c r="P5" s="62"/>
      <c r="R5" s="8"/>
      <c r="S5" s="12"/>
      <c r="T5" s="12"/>
      <c r="U5" s="12"/>
      <c r="V5" s="12"/>
      <c r="W5" s="12"/>
      <c r="X5" s="12"/>
      <c r="Y5" s="12"/>
      <c r="Z5" s="11"/>
      <c r="AA5" s="12"/>
      <c r="AB5" s="12"/>
      <c r="AC5" s="12"/>
      <c r="AD5" s="12"/>
      <c r="AE5" s="12"/>
      <c r="AF5" s="549"/>
      <c r="AG5" s="551"/>
      <c r="AH5" s="551"/>
    </row>
    <row r="6" spans="1:34" s="3" customFormat="1" ht="14" customHeight="1" thickTop="1">
      <c r="A6" s="84" t="s">
        <v>149</v>
      </c>
      <c r="C6" s="73"/>
      <c r="D6" s="362" t="s">
        <v>2</v>
      </c>
      <c r="E6" s="362"/>
      <c r="F6" s="75"/>
      <c r="G6" s="75"/>
      <c r="H6" s="75"/>
      <c r="I6" s="76"/>
      <c r="J6" s="77" t="s">
        <v>3</v>
      </c>
      <c r="K6" s="78"/>
      <c r="L6" s="45"/>
      <c r="M6" s="79"/>
      <c r="N6" s="650" t="s">
        <v>593</v>
      </c>
      <c r="O6" s="651"/>
      <c r="P6" s="80"/>
      <c r="R6" s="73"/>
      <c r="S6" s="362" t="s">
        <v>2</v>
      </c>
      <c r="T6" s="362"/>
      <c r="U6" s="75"/>
      <c r="V6" s="75"/>
      <c r="W6" s="75"/>
      <c r="X6" s="76"/>
      <c r="Y6" s="77" t="s">
        <v>3</v>
      </c>
      <c r="Z6" s="78"/>
      <c r="AA6" s="354"/>
      <c r="AB6" s="354"/>
      <c r="AC6" s="354"/>
      <c r="AD6" s="354"/>
      <c r="AE6" s="354"/>
      <c r="AF6" s="550"/>
      <c r="AG6" s="551"/>
      <c r="AH6" s="551"/>
    </row>
    <row r="7" spans="1:34" ht="14" customHeight="1">
      <c r="C7" s="13"/>
      <c r="E7" s="122"/>
      <c r="F7" s="122"/>
      <c r="G7" s="122"/>
      <c r="H7" s="122"/>
      <c r="I7" s="122"/>
      <c r="J7" s="50"/>
      <c r="K7" s="15"/>
      <c r="L7" s="12"/>
      <c r="M7" s="61"/>
      <c r="N7" s="673">
        <f ca="1">N19+N20+N21+N22+(N23-N10)+N28+N29</f>
        <v>103.53081157869381</v>
      </c>
      <c r="O7" s="83" t="s">
        <v>149</v>
      </c>
      <c r="P7" s="63"/>
      <c r="R7" s="13"/>
      <c r="V7" s="14"/>
      <c r="W7" s="14"/>
      <c r="X7" s="14"/>
      <c r="Y7" s="14"/>
      <c r="Z7" s="15"/>
      <c r="AA7" s="12"/>
      <c r="AB7" s="12"/>
      <c r="AC7" s="12"/>
      <c r="AD7" s="12"/>
      <c r="AE7" s="12"/>
      <c r="AF7" s="549"/>
      <c r="AG7" s="551"/>
      <c r="AH7" s="551"/>
    </row>
    <row r="8" spans="1:34" ht="3.5" customHeight="1" thickBot="1">
      <c r="C8" s="5"/>
      <c r="D8" s="6"/>
      <c r="E8" s="6"/>
      <c r="F8" s="6"/>
      <c r="G8" s="6"/>
      <c r="H8" s="6"/>
      <c r="I8" s="6"/>
      <c r="J8" s="6"/>
      <c r="K8" s="7"/>
      <c r="L8" s="12"/>
      <c r="M8" s="61"/>
      <c r="N8" s="674"/>
      <c r="O8" s="12"/>
      <c r="P8" s="64"/>
      <c r="R8" s="5"/>
      <c r="S8" s="6"/>
      <c r="T8" s="6"/>
      <c r="U8" s="6"/>
      <c r="V8" s="6"/>
      <c r="W8" s="6"/>
      <c r="X8" s="6"/>
      <c r="Y8" s="6"/>
      <c r="Z8" s="7"/>
      <c r="AA8" s="12"/>
      <c r="AB8" s="12"/>
      <c r="AC8" s="12"/>
      <c r="AD8" s="12"/>
      <c r="AE8" s="12"/>
      <c r="AF8" s="549"/>
      <c r="AG8" s="551"/>
      <c r="AH8" s="551" t="s">
        <v>437</v>
      </c>
    </row>
    <row r="9" spans="1:34" ht="14" customHeight="1" thickTop="1">
      <c r="C9" s="8"/>
      <c r="D9" s="568" t="s">
        <v>4</v>
      </c>
      <c r="E9" s="9"/>
      <c r="F9" s="10"/>
      <c r="G9" s="10"/>
      <c r="H9" s="118" t="s">
        <v>141</v>
      </c>
      <c r="I9" s="119" t="s">
        <v>142</v>
      </c>
      <c r="J9" s="118" t="s">
        <v>143</v>
      </c>
      <c r="K9" s="11"/>
      <c r="L9" s="12"/>
      <c r="M9" s="61"/>
      <c r="N9" s="659" t="s">
        <v>594</v>
      </c>
      <c r="O9" s="660"/>
      <c r="P9" s="62"/>
      <c r="R9" s="8"/>
      <c r="S9" s="568" t="s">
        <v>4</v>
      </c>
      <c r="T9" s="9"/>
      <c r="U9" s="10"/>
      <c r="V9" s="10"/>
      <c r="W9" s="118" t="s">
        <v>141</v>
      </c>
      <c r="X9" s="119" t="s">
        <v>142</v>
      </c>
      <c r="Y9" s="280" t="s">
        <v>143</v>
      </c>
      <c r="Z9" s="11"/>
      <c r="AA9" s="12"/>
      <c r="AB9" s="12"/>
      <c r="AC9" s="12"/>
      <c r="AD9" s="12"/>
      <c r="AE9" s="12"/>
    </row>
    <row r="10" spans="1:34" ht="16" customHeight="1" thickBot="1">
      <c r="C10" s="8"/>
      <c r="D10" s="602"/>
      <c r="E10" s="602"/>
      <c r="F10" s="602"/>
      <c r="G10" s="602"/>
      <c r="H10" s="604">
        <f>F1-YEAR(J12)</f>
        <v>2</v>
      </c>
      <c r="I10" s="604">
        <f>IF(H10&lt;3,0,IF(AND(H10&gt;2,H10&lt;6),1,IF(AND(H10&gt;5,H10&lt;9),2,IF(AND(H10&gt;8,H10&lt;12),3,IF(AND(H10&gt;11,H10&lt;15),4,IF(AND(H10&gt;14,H10&lt;18),5,IF(AND(H10&gt;17,H10&lt;21),6,IF(AND(H10&gt;20,H10&lt;24),7,IF(AND(H10&gt;23,H10&lt;27),8,9)))))))))</f>
        <v>0</v>
      </c>
      <c r="J10" s="606">
        <f>IF(I10=0,0,IF(I10=1,0.05,IF(I10=2,0.1,IF(I10=3,0.15,IF(I10=4,0.2,IF(I10=5,0.25,IF(I10=6,0.35,IF(I10=7,0.45,IF(I10=8,0.55,0.6)))))))))</f>
        <v>0</v>
      </c>
      <c r="K10" s="11"/>
      <c r="L10" s="12"/>
      <c r="M10" s="61"/>
      <c r="N10" s="81">
        <f ca="1">IF(J10=Y10,0,(Y10-J10)*(W19+W20))</f>
        <v>0</v>
      </c>
      <c r="O10" s="72" t="s">
        <v>149</v>
      </c>
      <c r="P10" s="63"/>
      <c r="R10" s="8"/>
      <c r="S10" s="602"/>
      <c r="T10" s="603"/>
      <c r="U10" s="602"/>
      <c r="V10" s="602"/>
      <c r="W10" s="604">
        <f ca="1">U1-YEAR(Y12)</f>
        <v>2</v>
      </c>
      <c r="X10" s="604">
        <f ca="1">IF(W10&lt;3,0,IF(AND(W10&gt;2,W10&lt;6),1,IF(AND(W10&gt;5,W10&lt;9),2,IF(AND(W10&gt;8,W10&lt;12),3,IF(AND(W10&gt;11,W10&lt;15),4,IF(AND(W10&gt;14,W10&lt;18),5,IF(AND(W10&gt;17,W10&lt;21),6,IF(AND(W10&gt;20,W10&lt;24),7,IF(AND(W10&gt;23,W10&lt;27),8,9)))))))))</f>
        <v>0</v>
      </c>
      <c r="Y10" s="605">
        <f ca="1">IF(X10=0,0,IF(X10=1,0.05,IF(X10=2,0.1,IF(X10=3,0.15,IF(X10=4,0.2,IF(X10=5,0.25,IF(X10=6,0.35,IF(X10=7,0.45,IF(X10=8,0.55,0.6)))))))))</f>
        <v>0</v>
      </c>
      <c r="Z10" s="11"/>
      <c r="AA10" s="696"/>
      <c r="AB10" s="355"/>
      <c r="AC10" s="355"/>
      <c r="AD10" s="355"/>
      <c r="AE10" s="355"/>
    </row>
    <row r="11" spans="1:34" ht="14" customHeight="1" thickTop="1">
      <c r="A11" s="84" t="s">
        <v>149</v>
      </c>
      <c r="C11" s="8"/>
      <c r="D11" s="568" t="s">
        <v>5</v>
      </c>
      <c r="E11" s="569"/>
      <c r="F11" s="16" t="s">
        <v>6</v>
      </c>
      <c r="G11" s="26"/>
      <c r="H11" s="29" t="s">
        <v>7</v>
      </c>
      <c r="I11" s="56" t="s">
        <v>8</v>
      </c>
      <c r="J11" s="56" t="s">
        <v>9</v>
      </c>
      <c r="K11" s="11"/>
      <c r="L11" s="12"/>
      <c r="M11" s="61"/>
      <c r="N11" s="650" t="s">
        <v>595</v>
      </c>
      <c r="O11" s="651"/>
      <c r="P11" s="62"/>
      <c r="R11" s="8"/>
      <c r="S11" s="568" t="s">
        <v>5</v>
      </c>
      <c r="T11" s="569"/>
      <c r="U11" s="16" t="s">
        <v>6</v>
      </c>
      <c r="V11" s="26"/>
      <c r="W11" s="29" t="s">
        <v>7</v>
      </c>
      <c r="X11" s="56" t="s">
        <v>8</v>
      </c>
      <c r="Y11" s="56" t="s">
        <v>9</v>
      </c>
      <c r="Z11" s="11"/>
      <c r="AA11" s="696"/>
      <c r="AB11" s="355"/>
      <c r="AC11" s="355"/>
      <c r="AD11" s="355"/>
      <c r="AE11" s="355"/>
    </row>
    <row r="12" spans="1:34" s="3" customFormat="1" ht="18" customHeight="1" thickBot="1">
      <c r="C12" s="73"/>
      <c r="D12" s="45"/>
      <c r="E12" s="571"/>
      <c r="F12" s="680"/>
      <c r="G12" s="681"/>
      <c r="H12" s="290">
        <v>1</v>
      </c>
      <c r="I12" s="571"/>
      <c r="J12" s="291">
        <v>44986</v>
      </c>
      <c r="K12" s="78"/>
      <c r="L12" s="45"/>
      <c r="M12" s="79"/>
      <c r="N12" s="570">
        <f ca="1">N7+N10</f>
        <v>103.53081157869381</v>
      </c>
      <c r="O12" s="249"/>
      <c r="P12" s="250"/>
      <c r="R12" s="73"/>
      <c r="S12" s="668"/>
      <c r="T12" s="668"/>
      <c r="U12" s="557"/>
      <c r="V12" s="557"/>
      <c r="W12" s="290">
        <f>H12</f>
        <v>1</v>
      </c>
      <c r="X12" s="43"/>
      <c r="Y12" s="251">
        <f ca="1">IF(ISBLANK(J12),TODAY(),J12)</f>
        <v>44986</v>
      </c>
      <c r="Z12" s="78"/>
      <c r="AA12" s="696"/>
      <c r="AB12" s="355"/>
      <c r="AC12" s="355"/>
      <c r="AD12" s="355"/>
      <c r="AE12" s="355"/>
    </row>
    <row r="13" spans="1:34" ht="14" customHeight="1" thickTop="1">
      <c r="A13" s="51" t="s">
        <v>149</v>
      </c>
      <c r="C13" s="8"/>
      <c r="D13" s="569" t="s">
        <v>10</v>
      </c>
      <c r="E13" s="568"/>
      <c r="F13" s="26"/>
      <c r="G13" s="28"/>
      <c r="H13" s="29" t="s">
        <v>11</v>
      </c>
      <c r="I13" s="30"/>
      <c r="J13" s="29" t="s">
        <v>12</v>
      </c>
      <c r="K13" s="11"/>
      <c r="L13" s="12"/>
      <c r="M13" s="61"/>
      <c r="N13" s="661" t="s">
        <v>596</v>
      </c>
      <c r="O13" s="651"/>
      <c r="P13" s="62"/>
      <c r="R13" s="8"/>
      <c r="S13" s="569" t="s">
        <v>10</v>
      </c>
      <c r="T13" s="568"/>
      <c r="U13" s="26"/>
      <c r="V13" s="28"/>
      <c r="W13" s="29" t="s">
        <v>11</v>
      </c>
      <c r="X13" s="30"/>
      <c r="Y13" s="29" t="s">
        <v>12</v>
      </c>
      <c r="Z13" s="11"/>
      <c r="AA13" s="696"/>
      <c r="AB13" s="572"/>
      <c r="AC13" s="355"/>
      <c r="AD13" s="355"/>
      <c r="AE13" s="355"/>
    </row>
    <row r="14" spans="1:34" ht="18" customHeight="1">
      <c r="C14" s="13"/>
      <c r="D14" s="683" t="s">
        <v>128</v>
      </c>
      <c r="E14" s="683"/>
      <c r="F14" s="683"/>
      <c r="G14" s="245" t="str">
        <f>IF(ISBLANK(D14),"",VLOOKUP(D14,LISTAS!$A$2:$B$48,2,FALSE))</f>
        <v>4.A.1</v>
      </c>
      <c r="H14" s="682" t="s">
        <v>459</v>
      </c>
      <c r="I14" s="682"/>
      <c r="J14" s="245">
        <v>30</v>
      </c>
      <c r="K14" s="15"/>
      <c r="L14" s="12"/>
      <c r="M14" s="65"/>
      <c r="N14" s="613">
        <f ca="1">SUM(N19:N29)</f>
        <v>103.53081157869381</v>
      </c>
      <c r="O14" s="247" t="s">
        <v>149</v>
      </c>
      <c r="P14" s="246"/>
      <c r="R14" s="13"/>
      <c r="S14" s="665" t="str">
        <f>D14</f>
        <v>Area 4 Grupo A Nivel 1</v>
      </c>
      <c r="T14" s="666"/>
      <c r="U14" s="667"/>
      <c r="V14" s="245" t="str">
        <f>IF(ISBLANK(S14),"",VLOOKUP(S14,LISTAS!$C$2:$D$59,2,FALSE))</f>
        <v>4.A.1</v>
      </c>
      <c r="W14" s="707" t="s">
        <v>460</v>
      </c>
      <c r="X14" s="707"/>
      <c r="Y14" s="245">
        <v>30</v>
      </c>
      <c r="Z14" s="15"/>
      <c r="AA14" s="696"/>
      <c r="AB14" s="572"/>
      <c r="AC14" s="355"/>
      <c r="AD14" s="355"/>
      <c r="AE14" s="355"/>
    </row>
    <row r="15" spans="1:34" ht="4.5" customHeight="1">
      <c r="C15" s="12"/>
      <c r="D15" s="617"/>
      <c r="E15" s="617"/>
      <c r="F15" s="617"/>
      <c r="G15" s="618"/>
      <c r="H15" s="619"/>
      <c r="I15" s="619"/>
      <c r="J15" s="618"/>
      <c r="K15" s="370"/>
      <c r="L15" s="370"/>
      <c r="M15" s="370"/>
      <c r="N15" s="620"/>
      <c r="O15" s="621"/>
      <c r="P15" s="622"/>
      <c r="Q15" s="371"/>
      <c r="R15" s="370"/>
      <c r="S15" s="617"/>
      <c r="T15" s="617"/>
      <c r="U15" s="617"/>
      <c r="V15" s="618"/>
      <c r="W15" s="623"/>
      <c r="X15" s="624"/>
      <c r="Y15" s="618"/>
      <c r="Z15" s="12"/>
      <c r="AA15" s="355"/>
      <c r="AB15" s="355"/>
      <c r="AC15" s="355"/>
      <c r="AD15" s="355"/>
      <c r="AE15" s="355"/>
    </row>
    <row r="16" spans="1:34" ht="15" customHeight="1">
      <c r="D16" s="351"/>
      <c r="E16" s="352"/>
      <c r="F16" s="351"/>
      <c r="G16" s="352"/>
      <c r="H16" s="297"/>
      <c r="I16" s="297"/>
      <c r="J16" s="297"/>
      <c r="N16" s="350"/>
      <c r="O16" s="350"/>
      <c r="S16" s="669" t="str">
        <f ca="1">CONCATENATE("Cumples tu trienio nº ",X10,".    Tu antigüedad ↑ ",TEXT(Y10-J10,"0%")," (",TEXT(AF8,"#.##0,00")," €)", ".    Antigüedad Actual del ",TEXT(Y10,"0%"), " de tus Salarios Base.")</f>
        <v>Cumples tu trienio nº 0.    Tu antigüedad ↑ 0% (0,00 €).    Antigüedad Actual del 0% de tus Salarios Base.</v>
      </c>
      <c r="T16" s="669"/>
      <c r="U16" s="669"/>
      <c r="V16" s="669"/>
      <c r="W16" s="669"/>
      <c r="X16" s="669"/>
      <c r="Y16" s="669"/>
      <c r="AA16" s="690" t="s">
        <v>584</v>
      </c>
      <c r="AB16" s="693" t="s">
        <v>582</v>
      </c>
      <c r="AC16" s="693" t="s">
        <v>583</v>
      </c>
      <c r="AD16" s="298"/>
      <c r="AE16" s="298"/>
    </row>
    <row r="17" spans="1:33" ht="3" customHeight="1">
      <c r="G17" s="51"/>
      <c r="H17" s="51"/>
      <c r="I17" s="51"/>
      <c r="J17" s="51"/>
      <c r="M17" s="68"/>
      <c r="N17" s="69"/>
      <c r="O17" s="69"/>
      <c r="P17" s="70"/>
      <c r="AA17" s="691"/>
      <c r="AB17" s="694"/>
      <c r="AC17" s="694"/>
    </row>
    <row r="18" spans="1:33" ht="14" customHeight="1">
      <c r="A18" s="96" t="s">
        <v>149</v>
      </c>
      <c r="D18" s="568" t="s">
        <v>13</v>
      </c>
      <c r="E18" s="568"/>
      <c r="F18" s="28"/>
      <c r="G18" s="29" t="s">
        <v>14</v>
      </c>
      <c r="H18" s="16" t="s">
        <v>15</v>
      </c>
      <c r="I18" s="569" t="s">
        <v>16</v>
      </c>
      <c r="J18" s="27" t="s">
        <v>17</v>
      </c>
      <c r="M18" s="61"/>
      <c r="N18" s="653" t="s">
        <v>151</v>
      </c>
      <c r="O18" s="654"/>
      <c r="P18" s="62"/>
      <c r="S18" s="568" t="s">
        <v>13</v>
      </c>
      <c r="T18" s="568"/>
      <c r="U18" s="28"/>
      <c r="V18" s="29" t="s">
        <v>14</v>
      </c>
      <c r="W18" s="16" t="s">
        <v>15</v>
      </c>
      <c r="X18" s="569" t="s">
        <v>16</v>
      </c>
      <c r="Y18" s="27" t="s">
        <v>17</v>
      </c>
      <c r="AA18" s="692"/>
      <c r="AB18" s="695"/>
      <c r="AC18" s="695"/>
      <c r="AD18" s="562"/>
      <c r="AE18" s="562"/>
    </row>
    <row r="19" spans="1:33" ht="15" customHeight="1">
      <c r="A19" s="51" t="s">
        <v>149</v>
      </c>
      <c r="D19" s="663" t="s">
        <v>18</v>
      </c>
      <c r="E19" s="663"/>
      <c r="F19" s="675"/>
      <c r="G19" s="37">
        <v>100</v>
      </c>
      <c r="H19" s="37">
        <f>IF(OR(ISBLANK(D14),ISBLANK(H12)),0,(VLOOKUP(G14,TABLAS!$D$3:$P$60,2,FALSE)/14)*H12)</f>
        <v>1899.49</v>
      </c>
      <c r="I19" s="37">
        <f t="shared" ref="I19:I28" si="0">G19/100*H19</f>
        <v>1899.49</v>
      </c>
      <c r="J19" s="573">
        <f>IF(OR(ISBLANK(D14),ISBLANK(H12)),0,(VLOOKUP(G14,TABLAS!$D$3:$P$60,2,FALSE)/14))</f>
        <v>1899.49</v>
      </c>
      <c r="M19" s="61"/>
      <c r="N19" s="94">
        <f t="shared" ref="N19:N24" si="1">IF(X19&gt;0,X19-I19,0)</f>
        <v>75.979285714285652</v>
      </c>
      <c r="O19" s="123"/>
      <c r="P19" s="82"/>
      <c r="S19" s="663" t="s">
        <v>18</v>
      </c>
      <c r="T19" s="663"/>
      <c r="U19" s="663"/>
      <c r="V19" s="37">
        <v>100</v>
      </c>
      <c r="W19" s="57">
        <f>Y19*W12</f>
        <v>1975.4692857142857</v>
      </c>
      <c r="X19" s="37">
        <f t="shared" ref="X19:X28" si="2">V19/100*W19</f>
        <v>1975.4692857142857</v>
      </c>
      <c r="Y19" s="573">
        <f>IF(ISBLANK(S14),0,(VLOOKUP(V14,TABLAS!$D$3:$P$60,IF(W14="Mes 2025 (Tablas 2024)",2,IF(W14="Mes 2025 (Tablas 2025)",5,8)),FALSE)/14))</f>
        <v>1975.4692857142857</v>
      </c>
      <c r="AA19" s="591">
        <f>Y19-J19</f>
        <v>75.979285714285652</v>
      </c>
      <c r="AB19" s="701">
        <f>SUM(AA19:AA22)</f>
        <v>88.74069563888041</v>
      </c>
      <c r="AC19" s="577"/>
      <c r="AD19" s="581"/>
      <c r="AE19" s="581"/>
      <c r="AF19" s="564"/>
      <c r="AG19" s="563"/>
    </row>
    <row r="20" spans="1:33" ht="15" customHeight="1">
      <c r="A20" s="51" t="s">
        <v>149</v>
      </c>
      <c r="D20" s="676" t="s">
        <v>147</v>
      </c>
      <c r="E20" s="676"/>
      <c r="F20" s="677"/>
      <c r="G20" s="37">
        <v>100</v>
      </c>
      <c r="H20" s="293">
        <v>100</v>
      </c>
      <c r="I20" s="37">
        <f t="shared" si="0"/>
        <v>100</v>
      </c>
      <c r="J20" s="573">
        <f>IF($H$12=1,H20,(H20*100/$H$12)/100)</f>
        <v>100</v>
      </c>
      <c r="M20" s="61"/>
      <c r="N20" s="94">
        <f t="shared" si="1"/>
        <v>3.9999875687774704</v>
      </c>
      <c r="O20" s="123"/>
      <c r="P20" s="82"/>
      <c r="S20" s="662" t="str">
        <f>IF(ISBLANK(D20),"",D20)</f>
        <v>EX SALARIO BASE 2022</v>
      </c>
      <c r="T20" s="662"/>
      <c r="U20" s="662"/>
      <c r="V20" s="37">
        <v>100</v>
      </c>
      <c r="W20" s="57">
        <f>Y20*W12</f>
        <v>103.99998756877747</v>
      </c>
      <c r="X20" s="37">
        <f t="shared" si="2"/>
        <v>103.99998756877747</v>
      </c>
      <c r="Y20" s="573">
        <f>IF(W14="Mes 2025 (Tablas 2024)",J20,(VLOOKUP(V14,TABLAS!$D$3:$R$60,15,FALSE)+1)*J20)</f>
        <v>103.99998756877747</v>
      </c>
      <c r="AA20" s="576">
        <f t="shared" ref="AA20:AA23" si="3">Y20-J20</f>
        <v>3.9999875687774704</v>
      </c>
      <c r="AB20" s="702"/>
      <c r="AC20" s="577"/>
      <c r="AD20" s="581"/>
      <c r="AE20" s="581"/>
      <c r="AF20" s="564"/>
      <c r="AG20" s="563"/>
    </row>
    <row r="21" spans="1:33" ht="15" customHeight="1">
      <c r="A21" s="51" t="s">
        <v>149</v>
      </c>
      <c r="D21" s="664" t="s">
        <v>19</v>
      </c>
      <c r="E21" s="664"/>
      <c r="F21" s="697"/>
      <c r="G21" s="35">
        <v>100</v>
      </c>
      <c r="H21" s="35">
        <f>IF(ISBLANK(D14),0,(VLOOKUP(G14,TABLAS!$D$3:$P$60,3,FALSE)/14)*H12)</f>
        <v>169.03428571428572</v>
      </c>
      <c r="I21" s="35">
        <f t="shared" si="0"/>
        <v>169.03428571428572</v>
      </c>
      <c r="J21" s="573">
        <f t="shared" ref="J21:J27" si="4">IF($H$12=1,H21,(H21*100/$H$12)/100)</f>
        <v>169.03428571428572</v>
      </c>
      <c r="M21" s="61"/>
      <c r="N21" s="94">
        <f t="shared" si="1"/>
        <v>6.7614285714285529</v>
      </c>
      <c r="O21" s="123"/>
      <c r="P21" s="82"/>
      <c r="S21" s="664" t="s">
        <v>19</v>
      </c>
      <c r="T21" s="664"/>
      <c r="U21" s="664"/>
      <c r="V21" s="35">
        <v>100</v>
      </c>
      <c r="W21" s="58">
        <f>Y21*W12</f>
        <v>175.79571428571427</v>
      </c>
      <c r="X21" s="37">
        <f t="shared" si="2"/>
        <v>175.79571428571427</v>
      </c>
      <c r="Y21" s="573">
        <f>IF(ISBLANK(S14),0,(VLOOKUP(V14,TABLAS!$D$3:$P$60,IF(W14="Mes 2025 (Tablas 2024)",3,IF(W14="Mes 2025 (Tablas 2025)",6,9)),FALSE)/14))</f>
        <v>175.79571428571427</v>
      </c>
      <c r="AA21" s="576">
        <f t="shared" si="3"/>
        <v>6.7614285714285529</v>
      </c>
      <c r="AB21" s="702"/>
      <c r="AC21" s="577"/>
      <c r="AD21" s="581"/>
      <c r="AE21" s="581"/>
      <c r="AF21" s="564"/>
      <c r="AG21" s="563"/>
    </row>
    <row r="22" spans="1:33" ht="15" customHeight="1">
      <c r="A22" s="51" t="s">
        <v>149</v>
      </c>
      <c r="D22" s="676" t="s">
        <v>148</v>
      </c>
      <c r="E22" s="676"/>
      <c r="F22" s="677"/>
      <c r="G22" s="35">
        <v>100</v>
      </c>
      <c r="H22" s="292">
        <v>50</v>
      </c>
      <c r="I22" s="35">
        <f t="shared" si="0"/>
        <v>50</v>
      </c>
      <c r="J22" s="573">
        <f t="shared" si="4"/>
        <v>50</v>
      </c>
      <c r="M22" s="61"/>
      <c r="N22" s="94">
        <f t="shared" si="1"/>
        <v>1.9999937843887352</v>
      </c>
      <c r="O22" s="123"/>
      <c r="P22" s="82"/>
      <c r="S22" s="662" t="str">
        <f>IF(ISBLANK(D22),"",D22)</f>
        <v>EX PLUS CONVENIO 2022</v>
      </c>
      <c r="T22" s="662"/>
      <c r="U22" s="662"/>
      <c r="V22" s="35">
        <v>100</v>
      </c>
      <c r="W22" s="58">
        <f>Y22*W12</f>
        <v>51.999993784388735</v>
      </c>
      <c r="X22" s="37">
        <f t="shared" si="2"/>
        <v>51.999993784388735</v>
      </c>
      <c r="Y22" s="573">
        <f>IF(W14="Mes 2025 (Tablas 2024)",J22,(VLOOKUP(V14,TABLAS!$D$3:$R$60,15,FALSE)+1)*J22)</f>
        <v>51.999993784388735</v>
      </c>
      <c r="AA22" s="578">
        <f t="shared" si="3"/>
        <v>1.9999937843887352</v>
      </c>
      <c r="AB22" s="703"/>
      <c r="AC22" s="590"/>
      <c r="AD22" s="581"/>
      <c r="AE22" s="581"/>
    </row>
    <row r="23" spans="1:33" ht="15" customHeight="1">
      <c r="A23" s="51" t="s">
        <v>149</v>
      </c>
      <c r="D23" s="671" t="s">
        <v>20</v>
      </c>
      <c r="E23" s="671"/>
      <c r="F23" s="672"/>
      <c r="G23" s="126">
        <v>100</v>
      </c>
      <c r="H23" s="126">
        <f>IF(ISBLANK(J12),0,(H19+H20)*J10)</f>
        <v>0</v>
      </c>
      <c r="I23" s="126">
        <f t="shared" si="0"/>
        <v>0</v>
      </c>
      <c r="J23" s="573">
        <f>(J19+J20)*J10</f>
        <v>0</v>
      </c>
      <c r="M23" s="61"/>
      <c r="N23" s="94">
        <f t="shared" ca="1" si="1"/>
        <v>0</v>
      </c>
      <c r="O23" s="123"/>
      <c r="P23" s="82"/>
      <c r="S23" s="671" t="s">
        <v>20</v>
      </c>
      <c r="T23" s="671"/>
      <c r="U23" s="671"/>
      <c r="V23" s="126">
        <v>100</v>
      </c>
      <c r="W23" s="127">
        <f ca="1">Y23*W12</f>
        <v>0</v>
      </c>
      <c r="X23" s="126">
        <f t="shared" ca="1" si="2"/>
        <v>0</v>
      </c>
      <c r="Y23" s="573">
        <f ca="1">(Y19+Y20)*Y10</f>
        <v>0</v>
      </c>
      <c r="AA23" s="585">
        <f t="shared" ca="1" si="3"/>
        <v>0</v>
      </c>
      <c r="AB23" s="586">
        <f ca="1">AA23-AC23</f>
        <v>0</v>
      </c>
      <c r="AC23" s="587">
        <f ca="1">(Y10-J10)*(Y19+Y20)</f>
        <v>0</v>
      </c>
      <c r="AD23" s="583"/>
      <c r="AE23" s="581"/>
      <c r="AF23" s="564"/>
      <c r="AG23" s="563"/>
    </row>
    <row r="24" spans="1:33" ht="15" customHeight="1" thickBot="1">
      <c r="A24" s="51" t="s">
        <v>149</v>
      </c>
      <c r="D24" s="639" t="s">
        <v>172</v>
      </c>
      <c r="E24" s="639"/>
      <c r="F24" s="640"/>
      <c r="G24" s="35">
        <v>100</v>
      </c>
      <c r="H24" s="292">
        <v>0</v>
      </c>
      <c r="I24" s="35">
        <f>G24/100*H24</f>
        <v>0</v>
      </c>
      <c r="J24" s="573">
        <f t="shared" si="4"/>
        <v>0</v>
      </c>
      <c r="M24" s="61"/>
      <c r="N24" s="94">
        <f t="shared" si="1"/>
        <v>0</v>
      </c>
      <c r="O24" s="123"/>
      <c r="P24" s="82"/>
      <c r="S24" s="628" t="str">
        <f>D24</f>
        <v>Complemento Consolidado</v>
      </c>
      <c r="T24" s="628"/>
      <c r="U24" s="641"/>
      <c r="V24" s="553">
        <v>100</v>
      </c>
      <c r="W24" s="554">
        <f>Y24*W12</f>
        <v>0</v>
      </c>
      <c r="X24" s="553">
        <f t="shared" si="2"/>
        <v>0</v>
      </c>
      <c r="Y24" s="573">
        <f>J24</f>
        <v>0</v>
      </c>
      <c r="Z24" s="551"/>
      <c r="AA24" s="578">
        <f>W29-H29</f>
        <v>0</v>
      </c>
      <c r="AB24" s="578">
        <f>(AA24*12)/14</f>
        <v>0</v>
      </c>
      <c r="AC24" s="580"/>
      <c r="AD24" s="575" t="s">
        <v>585</v>
      </c>
      <c r="AE24" s="575"/>
      <c r="AF24" s="564"/>
      <c r="AG24" s="565"/>
    </row>
    <row r="25" spans="1:33" ht="15" customHeight="1" thickTop="1">
      <c r="A25" s="51" t="s">
        <v>149</v>
      </c>
      <c r="D25" s="678" t="s">
        <v>23</v>
      </c>
      <c r="E25" s="678"/>
      <c r="F25" s="679"/>
      <c r="G25" s="35">
        <v>100</v>
      </c>
      <c r="H25" s="292">
        <v>0</v>
      </c>
      <c r="I25" s="35">
        <f>G25/100*H25</f>
        <v>0</v>
      </c>
      <c r="J25" s="584">
        <f>IF($H$12=1,H25,(H25*100/$H$12)/100)</f>
        <v>0</v>
      </c>
      <c r="M25" s="61"/>
      <c r="N25" s="94">
        <f ca="1">IF(S25="Complemento Absorbible 2025 (con Subida)",IF(Y25&gt;X25,Y25-I25,X25-I25),X25-I25)</f>
        <v>0</v>
      </c>
      <c r="O25" s="123"/>
      <c r="P25" s="82"/>
      <c r="S25" s="706" t="str">
        <f>D25</f>
        <v>Complemento Absorbible</v>
      </c>
      <c r="T25" s="706"/>
      <c r="U25" s="706"/>
      <c r="V25" s="553">
        <v>100</v>
      </c>
      <c r="W25" s="555">
        <f ca="1">IF(J25-AB26&lt;0,0,J25-AB26)*W12</f>
        <v>0</v>
      </c>
      <c r="X25" s="553">
        <f t="shared" ca="1" si="2"/>
        <v>0</v>
      </c>
      <c r="Y25" s="625">
        <v>50</v>
      </c>
      <c r="Z25" s="551"/>
      <c r="AA25" s="588"/>
      <c r="AB25" s="589">
        <f ca="1">AB19+AB23+AB24</f>
        <v>88.74069563888041</v>
      </c>
      <c r="AC25" s="589">
        <f ca="1">AC23</f>
        <v>0</v>
      </c>
      <c r="AF25" s="564"/>
      <c r="AG25" s="566"/>
    </row>
    <row r="26" spans="1:33" ht="15" customHeight="1">
      <c r="A26" s="51" t="s">
        <v>149</v>
      </c>
      <c r="D26" s="639" t="s">
        <v>506</v>
      </c>
      <c r="E26" s="639"/>
      <c r="F26" s="640"/>
      <c r="G26" s="35">
        <v>100</v>
      </c>
      <c r="H26" s="292">
        <v>56</v>
      </c>
      <c r="I26" s="35">
        <f>G26/100*H26</f>
        <v>56</v>
      </c>
      <c r="J26" s="573">
        <f>IF($H$12=1,H26,(H26*100/$H$12)/100)</f>
        <v>56</v>
      </c>
      <c r="M26" s="61"/>
      <c r="N26" s="95">
        <f ca="1">X26-I26</f>
        <v>0</v>
      </c>
      <c r="O26" s="123"/>
      <c r="P26" s="82"/>
      <c r="S26" s="628" t="s">
        <v>506</v>
      </c>
      <c r="T26" s="628"/>
      <c r="U26" s="628"/>
      <c r="V26" s="553">
        <v>100</v>
      </c>
      <c r="W26" s="554">
        <f ca="1">Y26*W12</f>
        <v>56</v>
      </c>
      <c r="X26" s="553">
        <f t="shared" ca="1" si="2"/>
        <v>56</v>
      </c>
      <c r="Y26" s="573">
        <f ca="1">IF(AE27&lt;&gt;"F",IF(J26-AC29&lt;0,0,J26-AC29),IF(J26-AC31&lt;0,0,J26-AC31))</f>
        <v>56</v>
      </c>
      <c r="Z26" s="560"/>
      <c r="AA26" s="560"/>
      <c r="AB26" s="704">
        <f ca="1">AB25+AC25</f>
        <v>88.74069563888041</v>
      </c>
      <c r="AC26" s="705"/>
      <c r="AF26" s="564"/>
      <c r="AG26" s="566"/>
    </row>
    <row r="27" spans="1:33" ht="15" customHeight="1" thickBot="1">
      <c r="A27" s="51" t="s">
        <v>149</v>
      </c>
      <c r="D27" s="688" t="s">
        <v>564</v>
      </c>
      <c r="E27" s="688"/>
      <c r="F27" s="689"/>
      <c r="G27" s="126">
        <v>100</v>
      </c>
      <c r="H27" s="552">
        <v>0</v>
      </c>
      <c r="I27" s="126">
        <f>G27/100*H27</f>
        <v>0</v>
      </c>
      <c r="J27" s="573">
        <f t="shared" si="4"/>
        <v>0</v>
      </c>
      <c r="M27" s="61"/>
      <c r="N27" s="95">
        <f ca="1">X27-I27</f>
        <v>0</v>
      </c>
      <c r="O27" s="12"/>
      <c r="P27" s="64"/>
      <c r="S27" s="635" t="str">
        <f>D27</f>
        <v>Complemento que sólo absorbe subida de tablas</v>
      </c>
      <c r="T27" s="635"/>
      <c r="U27" s="636"/>
      <c r="V27" s="553">
        <v>100</v>
      </c>
      <c r="W27" s="554">
        <f ca="1">Y27*W12</f>
        <v>0</v>
      </c>
      <c r="X27" s="553">
        <f t="shared" ca="1" si="2"/>
        <v>0</v>
      </c>
      <c r="Y27" s="573">
        <f ca="1">IF(AE27&lt;&gt;"F",IF(J27-AB29&lt;0,0,J27-AB29),IF(J27-AB31&lt;0,0,J27-AB31))</f>
        <v>0</v>
      </c>
      <c r="Z27" s="560"/>
      <c r="AA27" s="579"/>
      <c r="AB27" s="579"/>
      <c r="AC27" s="582"/>
      <c r="AD27" s="582"/>
      <c r="AE27" s="608" t="str">
        <f>IF(AND(J25&gt;0,J26&gt;0,J27&gt;0),"A",IF(AND(J25&gt;0,J26=0,J27=0),"B",IF(AND(J25=0,J26&gt;0,J27=0),"C",IF(AND(J25=0,J26=0,J27&gt;0),"D",IF(AND(J25&gt;0,J26&gt;0,J27=0),"E",IF(AND(J25&gt;0,J26=0,J27&gt;0),"F",IF(AND(J25=0,J26&gt;0,J27&gt;0),"G","Z")))))))</f>
        <v>C</v>
      </c>
      <c r="AF27" s="564"/>
      <c r="AG27" s="566"/>
    </row>
    <row r="28" spans="1:33" ht="15" customHeight="1" thickTop="1">
      <c r="A28" s="51" t="s">
        <v>149</v>
      </c>
      <c r="D28" s="678" t="s">
        <v>21</v>
      </c>
      <c r="E28" s="678"/>
      <c r="F28" s="679"/>
      <c r="G28" s="35">
        <v>100</v>
      </c>
      <c r="H28" s="35">
        <f>IF(ISBLANK(D28),0,(SUM(I19:I27)*2)/12)</f>
        <v>379.08738095238095</v>
      </c>
      <c r="I28" s="35">
        <f t="shared" si="0"/>
        <v>379.08738095238095</v>
      </c>
      <c r="J28" s="561"/>
      <c r="M28" s="61"/>
      <c r="N28" s="94">
        <f ca="1">W28-H28</f>
        <v>14.790115939813404</v>
      </c>
      <c r="O28" s="123"/>
      <c r="P28" s="82"/>
      <c r="S28" s="627" t="str">
        <f t="shared" ref="S28:S33" si="5">D28</f>
        <v>Prorrata Pagas Extraordinarias</v>
      </c>
      <c r="T28" s="627"/>
      <c r="U28" s="627"/>
      <c r="V28" s="553">
        <v>100</v>
      </c>
      <c r="W28" s="555">
        <f ca="1">IF(ISBLANK(D28),0,Y28)</f>
        <v>393.87749689219436</v>
      </c>
      <c r="X28" s="609">
        <f t="shared" ca="1" si="2"/>
        <v>393.87749689219436</v>
      </c>
      <c r="Y28" s="610">
        <f ca="1">IF(AND(S25="Complemento Absorbible 2025 (con Subida)",Y25&gt;X25),Y30,Y29)</f>
        <v>393.87749689219436</v>
      </c>
      <c r="AB28" s="592">
        <f ca="1">IF(J25-AB25&lt;0,0,J25-AB25)</f>
        <v>0</v>
      </c>
      <c r="AC28" s="593">
        <f ca="1">IF(AB28-AC25&lt;0,0,AB28-AC25)</f>
        <v>0</v>
      </c>
      <c r="AD28" s="598" t="s">
        <v>587</v>
      </c>
      <c r="AE28" s="698" t="s">
        <v>586</v>
      </c>
    </row>
    <row r="29" spans="1:33" ht="15" customHeight="1" thickBot="1">
      <c r="A29" s="51" t="s">
        <v>149</v>
      </c>
      <c r="D29" s="684" t="s">
        <v>22</v>
      </c>
      <c r="E29" s="684"/>
      <c r="F29" s="685"/>
      <c r="G29" s="37">
        <f>H29*100/17</f>
        <v>0</v>
      </c>
      <c r="H29" s="293">
        <v>0</v>
      </c>
      <c r="I29" s="37">
        <f>H29</f>
        <v>0</v>
      </c>
      <c r="J29" s="561"/>
      <c r="M29" s="61"/>
      <c r="N29" s="94">
        <f>IF(W29&gt;0,W29-H29,0)</f>
        <v>0</v>
      </c>
      <c r="O29" s="123"/>
      <c r="P29" s="82"/>
      <c r="S29" s="627" t="str">
        <f t="shared" si="5"/>
        <v>Gastos Teletrabajo</v>
      </c>
      <c r="T29" s="627"/>
      <c r="U29" s="627"/>
      <c r="V29" s="553">
        <f>G29</f>
        <v>0</v>
      </c>
      <c r="W29" s="555">
        <f>IF(ISBLANK(D29),0,IF(W14="Mes 2025 (Tablas 2024)",I29,I29*1.04))</f>
        <v>0</v>
      </c>
      <c r="X29" s="609">
        <f>W29</f>
        <v>0</v>
      </c>
      <c r="Y29" s="611">
        <f ca="1">(SUM(X19:X27)*2)/12</f>
        <v>393.87749689219436</v>
      </c>
      <c r="Z29" s="607"/>
      <c r="AB29" s="594">
        <f ca="1">IF(AB28&gt;0,0,AB25-J25)</f>
        <v>88.74069563888041</v>
      </c>
      <c r="AC29" s="595">
        <f ca="1">IF(AC28&gt;0,0,AC25-AB28)</f>
        <v>0</v>
      </c>
      <c r="AD29" s="599" t="s">
        <v>581</v>
      </c>
      <c r="AE29" s="699"/>
      <c r="AF29" s="564"/>
      <c r="AG29" s="566"/>
    </row>
    <row r="30" spans="1:33" ht="15" customHeight="1" thickTop="1">
      <c r="A30" s="51" t="s">
        <v>149</v>
      </c>
      <c r="D30" s="639" t="s">
        <v>448</v>
      </c>
      <c r="E30" s="639"/>
      <c r="F30" s="640"/>
      <c r="G30" s="35"/>
      <c r="H30" s="292">
        <v>0</v>
      </c>
      <c r="I30" s="35">
        <f>H30</f>
        <v>0</v>
      </c>
      <c r="J30" s="561"/>
      <c r="M30" s="61"/>
      <c r="N30" s="95">
        <f>IF(X30&gt;0,X30-I30,0)</f>
        <v>0</v>
      </c>
      <c r="O30" s="60"/>
      <c r="P30" s="82"/>
      <c r="S30" s="628" t="str">
        <f t="shared" si="5"/>
        <v>Σ Otros Conceptos Salariales (en PSI)</v>
      </c>
      <c r="T30" s="628"/>
      <c r="U30" s="628"/>
      <c r="V30" s="553"/>
      <c r="W30" s="555">
        <f>I30</f>
        <v>0</v>
      </c>
      <c r="X30" s="609">
        <f>W30</f>
        <v>0</v>
      </c>
      <c r="Y30" s="612">
        <f ca="1">((SUM(X19:X24)+Y25+SUM(X26:X27))*2)/12</f>
        <v>402.21083022552767</v>
      </c>
      <c r="AB30" s="596">
        <f ca="1">IF(AC30-AB25&lt;0,0,AC30-AB25)</f>
        <v>0</v>
      </c>
      <c r="AC30" s="597">
        <f ca="1">IF(J25-AC25&lt;0,0,J25-AC25)</f>
        <v>0</v>
      </c>
      <c r="AD30" s="598" t="s">
        <v>587</v>
      </c>
      <c r="AE30" s="698" t="s">
        <v>588</v>
      </c>
      <c r="AF30" s="558"/>
      <c r="AG30" s="551"/>
    </row>
    <row r="31" spans="1:33" ht="15" customHeight="1" thickBot="1">
      <c r="A31" s="51" t="s">
        <v>149</v>
      </c>
      <c r="D31" s="639" t="s">
        <v>449</v>
      </c>
      <c r="E31" s="639"/>
      <c r="F31" s="640"/>
      <c r="G31" s="35"/>
      <c r="H31" s="292">
        <v>0</v>
      </c>
      <c r="I31" s="35">
        <f>H31</f>
        <v>0</v>
      </c>
      <c r="J31" s="561"/>
      <c r="M31" s="61"/>
      <c r="N31" s="95">
        <f>IF(X31&gt;0,X31-I31,0)</f>
        <v>0</v>
      </c>
      <c r="O31" s="60"/>
      <c r="P31" s="82"/>
      <c r="S31" s="628" t="str">
        <f t="shared" si="5"/>
        <v>Σ Otros Conceptos Salariales (NO en PSI)</v>
      </c>
      <c r="T31" s="628"/>
      <c r="U31" s="641"/>
      <c r="V31" s="553"/>
      <c r="W31" s="555">
        <f>I31</f>
        <v>0</v>
      </c>
      <c r="X31" s="553">
        <f>W31</f>
        <v>0</v>
      </c>
      <c r="Z31" s="560"/>
      <c r="AB31" s="594">
        <f ca="1">IF(AB30&gt;0,0,AB25-AC30)</f>
        <v>88.74069563888041</v>
      </c>
      <c r="AC31" s="595">
        <f ca="1">IF(AC30&gt;0,0,AC25-J25)</f>
        <v>0</v>
      </c>
      <c r="AD31" s="599" t="s">
        <v>581</v>
      </c>
      <c r="AE31" s="699"/>
      <c r="AF31" s="558"/>
      <c r="AG31" s="551"/>
    </row>
    <row r="32" spans="1:33" ht="15" customHeight="1" thickTop="1">
      <c r="A32" s="51" t="s">
        <v>149</v>
      </c>
      <c r="D32" s="639" t="s">
        <v>450</v>
      </c>
      <c r="E32" s="639"/>
      <c r="F32" s="640"/>
      <c r="G32" s="35"/>
      <c r="H32" s="292">
        <v>0</v>
      </c>
      <c r="I32" s="35">
        <f>H32</f>
        <v>0</v>
      </c>
      <c r="J32" s="561"/>
      <c r="M32" s="61"/>
      <c r="N32" s="95">
        <f>IF(X32&gt;0,X32-I32,0)</f>
        <v>0</v>
      </c>
      <c r="O32" s="92"/>
      <c r="P32" s="93"/>
      <c r="S32" s="628" t="str">
        <f t="shared" si="5"/>
        <v>Σ Otros Conceptos EXTRASalariales (NO en PSI)</v>
      </c>
      <c r="T32" s="628"/>
      <c r="U32" s="628"/>
      <c r="V32" s="553"/>
      <c r="W32" s="555">
        <f>I32</f>
        <v>0</v>
      </c>
      <c r="X32" s="553">
        <f>W32</f>
        <v>0</v>
      </c>
      <c r="Y32" s="559"/>
      <c r="Z32" s="560"/>
      <c r="AF32" s="551"/>
      <c r="AG32" s="551"/>
    </row>
    <row r="33" spans="1:34" ht="15.5" customHeight="1">
      <c r="A33" s="51" t="s">
        <v>149</v>
      </c>
      <c r="D33" s="639" t="s">
        <v>154</v>
      </c>
      <c r="E33" s="639"/>
      <c r="F33" s="640"/>
      <c r="G33" s="35"/>
      <c r="H33" s="35"/>
      <c r="I33" s="292"/>
      <c r="J33" s="561"/>
      <c r="M33" s="61"/>
      <c r="N33" s="95">
        <f>IF(X33&lt;0,X33-I33,0)</f>
        <v>0</v>
      </c>
      <c r="O33" s="12"/>
      <c r="P33" s="64"/>
      <c r="S33" s="628" t="str">
        <f t="shared" si="5"/>
        <v>Seguro Médico, Guardería... (importe negativo)</v>
      </c>
      <c r="T33" s="628"/>
      <c r="U33" s="628"/>
      <c r="V33" s="553"/>
      <c r="W33" s="555"/>
      <c r="X33" s="556"/>
      <c r="Y33" s="559"/>
      <c r="Z33" s="560"/>
      <c r="AB33" s="700" t="s">
        <v>589</v>
      </c>
      <c r="AC33" s="700"/>
      <c r="AD33" s="700"/>
      <c r="AE33" s="700"/>
      <c r="AF33" s="551"/>
      <c r="AG33" s="551"/>
      <c r="AH33" s="59"/>
    </row>
    <row r="34" spans="1:34" ht="30" customHeight="1">
      <c r="A34" s="52"/>
      <c r="D34" s="17"/>
      <c r="E34" s="17"/>
      <c r="F34" s="17"/>
      <c r="G34" s="38"/>
      <c r="H34" s="38"/>
      <c r="I34" s="38"/>
      <c r="J34" s="38"/>
      <c r="M34" s="61"/>
      <c r="N34" s="125"/>
      <c r="O34" s="92"/>
      <c r="P34" s="93"/>
      <c r="S34" s="634" t="str">
        <f>VLOOKUP(AE27,LISTAS!M2:N9,2,)</f>
        <v>Tienes 1 complemento que únicamente puede absorber trienios</v>
      </c>
      <c r="T34" s="634"/>
      <c r="U34" s="634"/>
      <c r="V34" s="634"/>
      <c r="W34" s="634"/>
      <c r="X34" s="634"/>
      <c r="Y34" s="634"/>
      <c r="Z34" s="253"/>
      <c r="AB34" s="700"/>
      <c r="AC34" s="700"/>
      <c r="AD34" s="700"/>
      <c r="AE34" s="700"/>
    </row>
    <row r="35" spans="1:34" ht="15" customHeight="1">
      <c r="A35" s="51" t="s">
        <v>149</v>
      </c>
      <c r="D35" s="631" t="s">
        <v>144</v>
      </c>
      <c r="E35" s="631"/>
      <c r="F35" s="646"/>
      <c r="G35" s="37">
        <v>4.83</v>
      </c>
      <c r="H35" s="37">
        <f>IF(SUM(I19:I27)+SUM(I29:I32)+H40+((SUM(I19:I27)*2)/12)&gt;4909.5,4909.5,SUM(I19:I27)+SUM(I29:I32)+H40+((SUM(I19:I27)*2)/12))</f>
        <v>2655.8316666666665</v>
      </c>
      <c r="I35" s="37"/>
      <c r="J35" s="37">
        <f>G35/100*H35</f>
        <v>128.2766695</v>
      </c>
      <c r="M35" s="61"/>
      <c r="N35" s="353">
        <f ca="1">IF(Y35&gt;0,(Y35-J35)*-1,0)</f>
        <v>-5.0005381992509115</v>
      </c>
      <c r="O35" s="12"/>
      <c r="P35" s="64"/>
      <c r="S35" s="631" t="str">
        <f>D35</f>
        <v>Cotización Seguridad Social por Contingencias Comunes</v>
      </c>
      <c r="T35" s="631"/>
      <c r="U35" s="631"/>
      <c r="V35" s="37">
        <v>4.83</v>
      </c>
      <c r="W35" s="57">
        <f ca="1">SUM(X19:X27)+Y28+SUM(X29:X32)+W40</f>
        <v>2759.3624782453603</v>
      </c>
      <c r="X35" s="37"/>
      <c r="Y35" s="57">
        <f ca="1">V35/100*W35</f>
        <v>133.27720769925091</v>
      </c>
      <c r="AD35" s="575"/>
      <c r="AE35" s="575"/>
      <c r="AF35" s="59"/>
    </row>
    <row r="36" spans="1:34" ht="15" customHeight="1">
      <c r="A36" s="51" t="s">
        <v>149</v>
      </c>
      <c r="D36" s="632" t="s">
        <v>145</v>
      </c>
      <c r="E36" s="632"/>
      <c r="F36" s="633"/>
      <c r="G36" s="35">
        <v>1.65</v>
      </c>
      <c r="H36" s="35">
        <f>H35</f>
        <v>2655.8316666666665</v>
      </c>
      <c r="I36" s="35"/>
      <c r="J36" s="35">
        <f>G36/100*H36</f>
        <v>43.821222499999998</v>
      </c>
      <c r="M36" s="61"/>
      <c r="N36" s="353">
        <f ca="1">IF(Y36&gt;0,(Y36-J36)*-1,0)</f>
        <v>-1.708258391048453</v>
      </c>
      <c r="O36" s="12"/>
      <c r="P36" s="64"/>
      <c r="S36" s="567" t="str">
        <f>D36</f>
        <v>Cotización Seguridad Social por Desempleo / FP</v>
      </c>
      <c r="T36" s="31"/>
      <c r="U36" s="31"/>
      <c r="V36" s="35">
        <v>1.65</v>
      </c>
      <c r="W36" s="58">
        <f ca="1">W35</f>
        <v>2759.3624782453603</v>
      </c>
      <c r="X36" s="35"/>
      <c r="Y36" s="58">
        <f ca="1">V36/100*W36</f>
        <v>45.529480891048451</v>
      </c>
      <c r="AD36" s="575"/>
      <c r="AE36" s="575"/>
    </row>
    <row r="37" spans="1:34" ht="15" customHeight="1">
      <c r="A37" s="51" t="s">
        <v>149</v>
      </c>
      <c r="D37" s="632" t="s">
        <v>24</v>
      </c>
      <c r="E37" s="632"/>
      <c r="F37" s="633"/>
      <c r="G37" s="292">
        <v>19.3</v>
      </c>
      <c r="H37" s="35">
        <f>SUM(I19:I31)+I33</f>
        <v>2653.6116666666667</v>
      </c>
      <c r="I37" s="35"/>
      <c r="J37" s="35">
        <f>G37/100*H37</f>
        <v>512.1470516666667</v>
      </c>
      <c r="M37" s="61"/>
      <c r="N37" s="353">
        <f ca="1">IF(Y37&gt;0,(Y37-J37)*-1,0)</f>
        <v>-19.981446634687927</v>
      </c>
      <c r="O37" s="12"/>
      <c r="P37" s="64"/>
      <c r="S37" s="567" t="str">
        <f>D37</f>
        <v>Retención a Cuenta IRPF</v>
      </c>
      <c r="T37" s="31"/>
      <c r="U37" s="31"/>
      <c r="V37" s="292">
        <v>19.3</v>
      </c>
      <c r="W37" s="58">
        <f ca="1">IF(AND(S25="Complemento Absorbible 2025 (con Subida)",Y25&gt;X25),SUM(X19:X23)+Y25+SUM(X26:X31)+X33,SUM(X19:X31)+X33)</f>
        <v>2757.1424782453605</v>
      </c>
      <c r="X37" s="35"/>
      <c r="Y37" s="58">
        <f ca="1">V37/100*W37</f>
        <v>532.12849830135463</v>
      </c>
    </row>
    <row r="38" spans="1:34" ht="15" customHeight="1">
      <c r="A38" s="51" t="s">
        <v>149</v>
      </c>
      <c r="D38" s="632" t="s">
        <v>482</v>
      </c>
      <c r="E38" s="632"/>
      <c r="F38" s="633"/>
      <c r="G38" s="35">
        <f>G37</f>
        <v>19.3</v>
      </c>
      <c r="H38" s="292">
        <v>0</v>
      </c>
      <c r="I38" s="35"/>
      <c r="J38" s="35">
        <f>(G38/100)*H38</f>
        <v>0</v>
      </c>
      <c r="M38" s="61"/>
      <c r="N38" s="353">
        <f>IF(Y38&gt;0,(Y38-J38)*-1,0)</f>
        <v>0</v>
      </c>
      <c r="O38" s="12"/>
      <c r="P38" s="64"/>
      <c r="S38" s="632" t="s">
        <v>482</v>
      </c>
      <c r="T38" s="632"/>
      <c r="U38" s="633"/>
      <c r="V38" s="35">
        <f>V37</f>
        <v>19.3</v>
      </c>
      <c r="W38" s="292">
        <f>H38</f>
        <v>0</v>
      </c>
      <c r="X38" s="35"/>
      <c r="Y38" s="35">
        <f>(V38/100)*W38</f>
        <v>0</v>
      </c>
    </row>
    <row r="39" spans="1:34" ht="15" customHeight="1">
      <c r="D39" s="17"/>
      <c r="E39" s="17"/>
      <c r="F39" s="17"/>
      <c r="G39" s="38"/>
      <c r="H39" s="276"/>
      <c r="I39" s="55"/>
      <c r="J39" s="55"/>
      <c r="M39" s="61"/>
      <c r="N39" s="124"/>
      <c r="O39" s="12"/>
      <c r="P39" s="64"/>
      <c r="S39" s="17"/>
      <c r="T39" s="17"/>
      <c r="U39" s="17"/>
      <c r="V39" s="38"/>
      <c r="W39" s="55"/>
      <c r="X39" s="38"/>
      <c r="Y39" s="55"/>
    </row>
    <row r="40" spans="1:34" ht="15" customHeight="1">
      <c r="D40" s="631" t="s">
        <v>150</v>
      </c>
      <c r="E40" s="631"/>
      <c r="F40" s="646"/>
      <c r="G40" s="37"/>
      <c r="H40" s="600">
        <v>2.2200000000000002</v>
      </c>
      <c r="I40" s="55"/>
      <c r="J40" s="55"/>
      <c r="M40" s="65"/>
      <c r="N40" s="66"/>
      <c r="O40" s="66"/>
      <c r="P40" s="67"/>
      <c r="S40" s="631" t="str">
        <f>D40</f>
        <v>Seg. Accidente Emp.</v>
      </c>
      <c r="T40" s="631"/>
      <c r="U40" s="631"/>
      <c r="V40" s="37"/>
      <c r="W40" s="601">
        <v>2.2200000000000002</v>
      </c>
      <c r="X40" s="38"/>
      <c r="Y40" s="55"/>
    </row>
    <row r="41" spans="1:34" ht="3.5" customHeight="1">
      <c r="D41" s="91"/>
      <c r="E41" s="91"/>
      <c r="F41" s="91"/>
      <c r="G41" s="55"/>
      <c r="H41" s="55"/>
      <c r="I41" s="55"/>
      <c r="J41" s="55"/>
      <c r="S41" s="91"/>
      <c r="T41" s="91"/>
      <c r="U41" s="91"/>
      <c r="V41" s="55"/>
      <c r="W41" s="55"/>
      <c r="X41" s="55"/>
      <c r="Y41" s="55"/>
    </row>
    <row r="42" spans="1:34" ht="3.5" customHeight="1">
      <c r="D42" s="91"/>
      <c r="E42" s="91"/>
      <c r="F42" s="91"/>
      <c r="G42" s="55"/>
      <c r="H42" s="55"/>
      <c r="I42" s="55"/>
      <c r="J42" s="55"/>
      <c r="M42" s="68"/>
      <c r="N42" s="69"/>
      <c r="O42" s="69"/>
      <c r="P42" s="70"/>
      <c r="S42" s="91"/>
      <c r="T42" s="91"/>
      <c r="U42" s="91"/>
      <c r="V42" s="55"/>
      <c r="W42" s="55"/>
      <c r="X42" s="55"/>
      <c r="Y42" s="55"/>
    </row>
    <row r="43" spans="1:34" ht="15.5">
      <c r="D43" s="638" t="str">
        <f>IF(H35&lt;=F45,CONCATENATE("Para llegar al SMI faltan ",TEXT(F45-H35,"#.##0,00")),"")</f>
        <v/>
      </c>
      <c r="E43" s="638"/>
      <c r="F43" s="638"/>
      <c r="G43" s="638"/>
      <c r="H43" s="638"/>
      <c r="M43" s="61"/>
      <c r="N43" s="642" t="s">
        <v>152</v>
      </c>
      <c r="O43" s="643"/>
      <c r="P43" s="64"/>
      <c r="S43" s="638" t="str">
        <f ca="1">IF(W35-W40&lt;U45,CONCATENATE("Para llegar al SMI te faltan ",TEXT((U45-(W35-W40))*12,"#.##0,00")," € anuales."),IF(W35-W40=U45,"Cobras exactamente el SMI",""))</f>
        <v/>
      </c>
      <c r="T43" s="638"/>
      <c r="U43" s="638"/>
      <c r="V43" s="638"/>
      <c r="W43" s="638"/>
    </row>
    <row r="44" spans="1:34" ht="14" customHeight="1" thickBot="1">
      <c r="A44" s="84" t="s">
        <v>149</v>
      </c>
      <c r="D44" s="2"/>
      <c r="E44" s="2"/>
      <c r="F44" s="2"/>
      <c r="G44" s="2"/>
      <c r="H44" s="87" t="s">
        <v>25</v>
      </c>
      <c r="I44" s="32">
        <f>SUM(I19:I33)</f>
        <v>2653.6116666666667</v>
      </c>
      <c r="J44" s="32">
        <f>SUM(J35:J38)</f>
        <v>684.2449436666667</v>
      </c>
      <c r="M44" s="61"/>
      <c r="N44" s="644" t="s">
        <v>153</v>
      </c>
      <c r="O44" s="645"/>
      <c r="P44" s="64"/>
      <c r="S44" s="2"/>
      <c r="T44" s="2"/>
      <c r="U44" s="2"/>
      <c r="V44" s="2"/>
      <c r="W44" s="90" t="s">
        <v>25</v>
      </c>
      <c r="X44" s="32">
        <f ca="1">IF(AND(S25=LISTAS!F23,Y25&gt;X25),SUM(X19:X23)+Y25+SUM(X26:X33),SUM(X19:X33))</f>
        <v>2757.1424782453605</v>
      </c>
      <c r="Y44" s="32">
        <f ca="1">SUM(Y35:Y38)</f>
        <v>710.93518689165398</v>
      </c>
    </row>
    <row r="45" spans="1:34" ht="14" customHeight="1" thickTop="1">
      <c r="A45" s="84" t="s">
        <v>149</v>
      </c>
      <c r="D45" s="252" t="s">
        <v>424</v>
      </c>
      <c r="E45" s="242">
        <v>1134</v>
      </c>
      <c r="F45" s="242">
        <f>E45+((E45*2)/12)</f>
        <v>1323</v>
      </c>
      <c r="G45" s="242">
        <f>E45*14</f>
        <v>15876</v>
      </c>
      <c r="H45" s="88" t="s">
        <v>26</v>
      </c>
      <c r="I45" s="116"/>
      <c r="J45" s="34">
        <f>I44-J44</f>
        <v>1969.3667230000001</v>
      </c>
      <c r="M45" s="65"/>
      <c r="N45" s="614">
        <f ca="1">Y45-J45</f>
        <v>76.840568353706431</v>
      </c>
      <c r="O45" s="66"/>
      <c r="P45" s="67"/>
      <c r="S45" s="277" t="s">
        <v>456</v>
      </c>
      <c r="T45" s="242">
        <v>1184</v>
      </c>
      <c r="U45" s="242">
        <f>T45+((T45*2)/12)</f>
        <v>1381.3333333333333</v>
      </c>
      <c r="V45" s="242">
        <f>T45*14</f>
        <v>16576</v>
      </c>
      <c r="W45" s="89" t="s">
        <v>26</v>
      </c>
      <c r="X45" s="33"/>
      <c r="Y45" s="34">
        <f ca="1">X44-Y44</f>
        <v>2046.2072913537065</v>
      </c>
    </row>
    <row r="46" spans="1:34">
      <c r="E46" s="117" t="s">
        <v>425</v>
      </c>
      <c r="F46" s="117" t="s">
        <v>457</v>
      </c>
      <c r="G46" s="117" t="s">
        <v>458</v>
      </c>
      <c r="S46" s="278"/>
      <c r="T46" s="117" t="s">
        <v>425</v>
      </c>
      <c r="U46" s="117" t="s">
        <v>457</v>
      </c>
      <c r="V46" s="117" t="s">
        <v>458</v>
      </c>
    </row>
    <row r="47" spans="1:34" ht="18" customHeight="1">
      <c r="N47" s="279"/>
      <c r="O47" s="279"/>
      <c r="P47" s="279"/>
    </row>
    <row r="48" spans="1:34" ht="18" customHeight="1">
      <c r="D48" s="53"/>
      <c r="H48" s="630" t="str">
        <f ca="1">CONCATENATE("Aumento Bruto Anual de Tablas y Antigüedad = ",TEXT(N12*14,"#.##0,00")," €.  &gt;&gt; Aumento Real Anual = ",TEXT(N60,"#.##0,00")," €.")</f>
        <v>Aumento Bruto Anual de Tablas y Antigüedad = 1.449,43 €.  &gt;&gt; Aumento Real Anual = 1.242,37 €.</v>
      </c>
      <c r="I48" s="630"/>
      <c r="J48" s="630"/>
      <c r="K48" s="630"/>
      <c r="L48" s="630"/>
      <c r="M48" s="630"/>
      <c r="N48" s="630"/>
      <c r="O48" s="630"/>
      <c r="P48" s="630"/>
      <c r="Q48" s="630"/>
      <c r="R48" s="630"/>
      <c r="S48" s="630"/>
      <c r="T48" s="630"/>
      <c r="U48" s="630"/>
      <c r="W48" s="59"/>
    </row>
    <row r="49" spans="8:25" ht="18.5">
      <c r="H49" s="188"/>
      <c r="I49" s="189"/>
      <c r="J49" s="190" t="s">
        <v>432</v>
      </c>
      <c r="K49" s="189"/>
      <c r="L49" s="189"/>
      <c r="M49" s="191"/>
      <c r="N49" s="192">
        <f ca="1">((N60*100)/J60)/100</f>
        <v>3.9015057432553429E-2</v>
      </c>
      <c r="O49" s="191"/>
      <c r="P49" s="191"/>
      <c r="Q49" s="191"/>
      <c r="R49" s="191"/>
      <c r="S49" s="193" t="s">
        <v>433</v>
      </c>
      <c r="T49" s="191"/>
      <c r="U49" s="194"/>
    </row>
    <row r="50" spans="8:25" ht="15.5">
      <c r="H50" s="195"/>
      <c r="I50" s="129" t="s">
        <v>18</v>
      </c>
      <c r="J50" s="130">
        <f t="shared" ref="J50:J58" si="6">H19*14</f>
        <v>26592.86</v>
      </c>
      <c r="K50" s="131"/>
      <c r="L50" s="131"/>
      <c r="M50" s="132"/>
      <c r="N50" s="130">
        <f>S50-J50</f>
        <v>1063.7099999999991</v>
      </c>
      <c r="O50" s="133"/>
      <c r="P50" s="134"/>
      <c r="Q50" s="133"/>
      <c r="R50" s="133"/>
      <c r="S50" s="135">
        <f t="shared" ref="S50:S55" si="7">W19*14</f>
        <v>27656.57</v>
      </c>
      <c r="T50" s="136" t="s">
        <v>146</v>
      </c>
      <c r="U50" s="196"/>
    </row>
    <row r="51" spans="8:25" ht="15.5">
      <c r="H51" s="197"/>
      <c r="I51" s="137" t="s">
        <v>428</v>
      </c>
      <c r="J51" s="138">
        <f t="shared" si="6"/>
        <v>1400</v>
      </c>
      <c r="K51" s="139"/>
      <c r="L51" s="139"/>
      <c r="M51" s="140"/>
      <c r="N51" s="138">
        <f t="shared" ref="N51:N59" si="8">S51-J51</f>
        <v>55.999825962884643</v>
      </c>
      <c r="O51" s="141"/>
      <c r="P51" s="142"/>
      <c r="Q51" s="141"/>
      <c r="R51" s="141"/>
      <c r="S51" s="143">
        <f t="shared" si="7"/>
        <v>1455.9998259628846</v>
      </c>
      <c r="T51" s="144" t="s">
        <v>428</v>
      </c>
      <c r="U51" s="198"/>
    </row>
    <row r="52" spans="8:25" ht="15.5">
      <c r="H52" s="197"/>
      <c r="I52" s="137" t="s">
        <v>19</v>
      </c>
      <c r="J52" s="138">
        <f t="shared" si="6"/>
        <v>2366.48</v>
      </c>
      <c r="K52" s="139"/>
      <c r="L52" s="139"/>
      <c r="M52" s="140"/>
      <c r="N52" s="138">
        <f t="shared" si="8"/>
        <v>94.659999999999854</v>
      </c>
      <c r="O52" s="141"/>
      <c r="P52" s="142"/>
      <c r="Q52" s="141"/>
      <c r="R52" s="141"/>
      <c r="S52" s="143">
        <f t="shared" si="7"/>
        <v>2461.14</v>
      </c>
      <c r="T52" s="144" t="s">
        <v>429</v>
      </c>
      <c r="U52" s="198"/>
    </row>
    <row r="53" spans="8:25" ht="15.5">
      <c r="H53" s="197"/>
      <c r="I53" s="137" t="s">
        <v>483</v>
      </c>
      <c r="J53" s="138">
        <f t="shared" si="6"/>
        <v>700</v>
      </c>
      <c r="K53" s="139"/>
      <c r="L53" s="139"/>
      <c r="M53" s="140"/>
      <c r="N53" s="138">
        <f t="shared" si="8"/>
        <v>27.999912981442321</v>
      </c>
      <c r="O53" s="141"/>
      <c r="P53" s="142"/>
      <c r="Q53" s="141"/>
      <c r="R53" s="141"/>
      <c r="S53" s="143">
        <f t="shared" si="7"/>
        <v>727.99991298144232</v>
      </c>
      <c r="T53" s="144" t="s">
        <v>430</v>
      </c>
      <c r="U53" s="198"/>
    </row>
    <row r="54" spans="8:25" ht="15.5">
      <c r="H54" s="197"/>
      <c r="I54" s="137" t="s">
        <v>20</v>
      </c>
      <c r="J54" s="138">
        <f t="shared" si="6"/>
        <v>0</v>
      </c>
      <c r="K54" s="139"/>
      <c r="L54" s="139"/>
      <c r="M54" s="140"/>
      <c r="N54" s="138">
        <f t="shared" ca="1" si="8"/>
        <v>0</v>
      </c>
      <c r="O54" s="141"/>
      <c r="P54" s="142"/>
      <c r="Q54" s="141"/>
      <c r="R54" s="141"/>
      <c r="S54" s="143">
        <f t="shared" ca="1" si="7"/>
        <v>0</v>
      </c>
      <c r="T54" s="144" t="s">
        <v>20</v>
      </c>
      <c r="U54" s="198"/>
    </row>
    <row r="55" spans="8:25" ht="15.5">
      <c r="H55" s="199"/>
      <c r="I55" s="145" t="s">
        <v>567</v>
      </c>
      <c r="J55" s="543">
        <f t="shared" si="6"/>
        <v>0</v>
      </c>
      <c r="K55" s="544"/>
      <c r="L55" s="544"/>
      <c r="M55" s="545"/>
      <c r="N55" s="543">
        <f>S55-J55</f>
        <v>0</v>
      </c>
      <c r="O55" s="546"/>
      <c r="P55" s="547"/>
      <c r="Q55" s="546"/>
      <c r="R55" s="546"/>
      <c r="S55" s="548">
        <f t="shared" si="7"/>
        <v>0</v>
      </c>
      <c r="T55" s="152" t="s">
        <v>567</v>
      </c>
      <c r="U55" s="200"/>
    </row>
    <row r="56" spans="8:25" ht="15.5" customHeight="1">
      <c r="H56" s="197"/>
      <c r="I56" s="137" t="s">
        <v>484</v>
      </c>
      <c r="J56" s="138">
        <f>H25*14</f>
        <v>0</v>
      </c>
      <c r="K56" s="139"/>
      <c r="L56" s="139"/>
      <c r="M56" s="140"/>
      <c r="N56" s="138">
        <f ca="1">S56-J56</f>
        <v>0</v>
      </c>
      <c r="O56" s="141"/>
      <c r="P56" s="142"/>
      <c r="Q56" s="141"/>
      <c r="R56" s="141"/>
      <c r="S56" s="143">
        <f ca="1">IF(AND(S25=LISTAS!F23,Y25&gt;X25),(Y25)*14,W25*14)</f>
        <v>0</v>
      </c>
      <c r="T56" s="144" t="s">
        <v>484</v>
      </c>
      <c r="U56" s="198"/>
      <c r="V56" s="637" t="str">
        <f ca="1">IF(AND(S25=LISTAS!F23,Y25-X25&gt;0),CONCATENATE("Tu nuevo complemento absorbible es de ",TEXT(Y25,"#.##0,00"),"€/mes que anualmente supone ",TEXT(Y25*14,"#.##0,00"),"€."," Ha aumentado en ",TEXT(Y25-X25,"#.##0,00"), "€/mes sobre el complemento absorbible que debería haber quedado tras la absorción. Por lo que el complemento absorbible ha incrementado ",TEXT((Y25-X25)*14,"#.##0,00")," € anuales."),"")</f>
        <v/>
      </c>
      <c r="W56" s="637"/>
      <c r="X56" s="637"/>
      <c r="Y56" s="637"/>
    </row>
    <row r="57" spans="8:25" ht="15.5">
      <c r="H57" s="197"/>
      <c r="I57" s="137" t="s">
        <v>565</v>
      </c>
      <c r="J57" s="138">
        <f>H26*14</f>
        <v>784</v>
      </c>
      <c r="K57" s="139"/>
      <c r="L57" s="139"/>
      <c r="M57" s="140"/>
      <c r="N57" s="138">
        <f t="shared" ca="1" si="8"/>
        <v>0</v>
      </c>
      <c r="O57" s="141"/>
      <c r="P57" s="142"/>
      <c r="Q57" s="141"/>
      <c r="R57" s="141"/>
      <c r="S57" s="143">
        <f ca="1">W26*14</f>
        <v>784</v>
      </c>
      <c r="T57" s="144" t="s">
        <v>565</v>
      </c>
      <c r="U57" s="198"/>
      <c r="V57" s="637"/>
      <c r="W57" s="637"/>
      <c r="X57" s="637"/>
      <c r="Y57" s="637"/>
    </row>
    <row r="58" spans="8:25" ht="15.5">
      <c r="H58" s="197"/>
      <c r="I58" s="137" t="s">
        <v>566</v>
      </c>
      <c r="J58" s="138">
        <f t="shared" si="6"/>
        <v>0</v>
      </c>
      <c r="K58" s="139"/>
      <c r="L58" s="139"/>
      <c r="M58" s="140"/>
      <c r="N58" s="138">
        <f t="shared" ca="1" si="8"/>
        <v>0</v>
      </c>
      <c r="O58" s="141"/>
      <c r="P58" s="142"/>
      <c r="Q58" s="141"/>
      <c r="R58" s="141"/>
      <c r="S58" s="143">
        <f ca="1">W27*14</f>
        <v>0</v>
      </c>
      <c r="T58" s="144" t="s">
        <v>566</v>
      </c>
      <c r="U58" s="198"/>
      <c r="V58" s="637"/>
      <c r="W58" s="637"/>
      <c r="X58" s="637"/>
      <c r="Y58" s="637"/>
    </row>
    <row r="59" spans="8:25" ht="15.5">
      <c r="H59" s="199"/>
      <c r="I59" s="145" t="s">
        <v>431</v>
      </c>
      <c r="J59" s="146">
        <f>H30*12</f>
        <v>0</v>
      </c>
      <c r="K59" s="147"/>
      <c r="L59" s="147"/>
      <c r="M59" s="148"/>
      <c r="N59" s="146">
        <f t="shared" si="8"/>
        <v>0</v>
      </c>
      <c r="O59" s="149"/>
      <c r="P59" s="150"/>
      <c r="Q59" s="149"/>
      <c r="R59" s="149"/>
      <c r="S59" s="151">
        <f>W30*12</f>
        <v>0</v>
      </c>
      <c r="T59" s="152" t="s">
        <v>431</v>
      </c>
      <c r="U59" s="200"/>
      <c r="V59" s="637"/>
      <c r="W59" s="637"/>
      <c r="X59" s="637"/>
      <c r="Y59" s="637"/>
    </row>
    <row r="60" spans="8:25" ht="18.5">
      <c r="H60" s="201"/>
      <c r="I60" s="202"/>
      <c r="J60" s="203">
        <f>SUM(J50:J59)</f>
        <v>31843.34</v>
      </c>
      <c r="K60" s="202"/>
      <c r="L60" s="202"/>
      <c r="M60" s="204"/>
      <c r="N60" s="205">
        <f ca="1">SUM(N50:N59)</f>
        <v>1242.3697389443259</v>
      </c>
      <c r="O60" s="204"/>
      <c r="P60" s="204"/>
      <c r="Q60" s="204"/>
      <c r="R60" s="204"/>
      <c r="S60" s="206">
        <f ca="1">SUM(S50:S59)</f>
        <v>33085.709738944322</v>
      </c>
      <c r="T60" s="204"/>
      <c r="U60" s="207"/>
      <c r="V60" s="637"/>
      <c r="W60" s="637"/>
      <c r="X60" s="637"/>
      <c r="Y60" s="637"/>
    </row>
    <row r="61" spans="8:25">
      <c r="V61" s="637"/>
      <c r="W61" s="637"/>
      <c r="X61" s="637"/>
      <c r="Y61" s="637"/>
    </row>
    <row r="62" spans="8:25" ht="18.5">
      <c r="H62" s="208"/>
      <c r="I62" s="209"/>
      <c r="J62" s="210" t="s">
        <v>454</v>
      </c>
      <c r="K62" s="209"/>
      <c r="L62" s="209"/>
      <c r="M62" s="211"/>
      <c r="N62" s="212"/>
      <c r="O62" s="211"/>
      <c r="P62" s="211"/>
      <c r="Q62" s="211"/>
      <c r="R62" s="211"/>
      <c r="S62" s="213" t="s">
        <v>455</v>
      </c>
      <c r="T62" s="211"/>
      <c r="U62" s="214"/>
      <c r="V62" s="637"/>
      <c r="W62" s="637"/>
      <c r="X62" s="637"/>
      <c r="Y62" s="637"/>
    </row>
    <row r="63" spans="8:25" ht="15.5">
      <c r="H63" s="215"/>
      <c r="I63" s="153" t="s">
        <v>22</v>
      </c>
      <c r="J63" s="156">
        <f>H29*12</f>
        <v>0</v>
      </c>
      <c r="K63" s="157"/>
      <c r="L63" s="157"/>
      <c r="M63" s="158"/>
      <c r="N63" s="156">
        <f>S63-J63</f>
        <v>0</v>
      </c>
      <c r="O63" s="159"/>
      <c r="P63" s="160"/>
      <c r="Q63" s="159"/>
      <c r="R63" s="159"/>
      <c r="S63" s="161">
        <f>W29*12</f>
        <v>0</v>
      </c>
      <c r="T63" s="162" t="s">
        <v>22</v>
      </c>
      <c r="U63" s="216"/>
    </row>
    <row r="64" spans="8:25" ht="15.5">
      <c r="H64" s="217"/>
      <c r="I64" s="137" t="s">
        <v>150</v>
      </c>
      <c r="J64" s="138">
        <f>H40*12</f>
        <v>26.64</v>
      </c>
      <c r="K64" s="139"/>
      <c r="L64" s="139"/>
      <c r="M64" s="140"/>
      <c r="N64" s="138"/>
      <c r="O64" s="141"/>
      <c r="P64" s="142"/>
      <c r="Q64" s="141"/>
      <c r="R64" s="141"/>
      <c r="S64" s="143">
        <f>W40*12</f>
        <v>26.64</v>
      </c>
      <c r="T64" s="144" t="s">
        <v>150</v>
      </c>
      <c r="U64" s="218"/>
    </row>
    <row r="65" spans="8:21" ht="15.5">
      <c r="H65" s="219"/>
      <c r="I65" s="154" t="s">
        <v>431</v>
      </c>
      <c r="J65" s="146">
        <f>H31*12</f>
        <v>0</v>
      </c>
      <c r="K65" s="149"/>
      <c r="L65" s="149"/>
      <c r="M65" s="148"/>
      <c r="N65" s="147"/>
      <c r="O65" s="149"/>
      <c r="P65" s="150"/>
      <c r="Q65" s="149"/>
      <c r="R65" s="149"/>
      <c r="S65" s="151">
        <f>X31*12</f>
        <v>0</v>
      </c>
      <c r="T65" s="155" t="s">
        <v>431</v>
      </c>
      <c r="U65" s="220"/>
    </row>
    <row r="66" spans="8:21" ht="18.5">
      <c r="H66" s="221"/>
      <c r="I66" s="222"/>
      <c r="J66" s="223">
        <f>SUM(J63:J65)</f>
        <v>26.64</v>
      </c>
      <c r="K66" s="222"/>
      <c r="L66" s="222"/>
      <c r="M66" s="224"/>
      <c r="N66" s="227">
        <f>S66-J66</f>
        <v>0</v>
      </c>
      <c r="O66" s="224"/>
      <c r="P66" s="224"/>
      <c r="Q66" s="224"/>
      <c r="R66" s="224"/>
      <c r="S66" s="225">
        <f>SUM(S63:S65)</f>
        <v>26.64</v>
      </c>
      <c r="T66" s="224"/>
      <c r="U66" s="226"/>
    </row>
    <row r="68" spans="8:21" ht="18.5">
      <c r="H68" s="228"/>
      <c r="I68" s="229"/>
      <c r="J68" s="230" t="s">
        <v>434</v>
      </c>
      <c r="K68" s="229"/>
      <c r="L68" s="229"/>
      <c r="M68" s="231"/>
      <c r="N68" s="232">
        <f ca="1">((N69*100)/J69)/100</f>
        <v>3.8982444888397243E-2</v>
      </c>
      <c r="O68" s="231"/>
      <c r="P68" s="231"/>
      <c r="Q68" s="231"/>
      <c r="R68" s="231"/>
      <c r="S68" s="233" t="s">
        <v>435</v>
      </c>
      <c r="T68" s="231"/>
      <c r="U68" s="234"/>
    </row>
    <row r="69" spans="8:21" ht="18.5">
      <c r="H69" s="235"/>
      <c r="I69" s="236"/>
      <c r="J69" s="237">
        <f>J60+J66</f>
        <v>31869.98</v>
      </c>
      <c r="K69" s="236"/>
      <c r="L69" s="236"/>
      <c r="M69" s="238"/>
      <c r="N69" s="239">
        <f ca="1">S69-J69</f>
        <v>1242.3697389443223</v>
      </c>
      <c r="O69" s="238"/>
      <c r="P69" s="238"/>
      <c r="Q69" s="238"/>
      <c r="R69" s="238"/>
      <c r="S69" s="240">
        <f ca="1">S60+S66</f>
        <v>33112.349738944322</v>
      </c>
      <c r="T69" s="238"/>
      <c r="U69" s="241"/>
    </row>
  </sheetData>
  <sheetProtection algorithmName="SHA-512" hashValue="3ALxUHKIfL5JuWHVHCcwSGdOYhh8fE37BfMDuDxrKKA+X2UdBNNqHy/0aC9ff7KtdvHBBnBQwORvmk4XFuC5Sw==" saltValue="hV8jrXhTnnlVoEmQyxAwbA==" spinCount="100000" sheet="1" objects="1" scenarios="1" selectLockedCells="1"/>
  <mergeCells count="74">
    <mergeCell ref="N1:O1"/>
    <mergeCell ref="E2:I2"/>
    <mergeCell ref="N2:O2"/>
    <mergeCell ref="T2:X2"/>
    <mergeCell ref="D4:I4"/>
    <mergeCell ref="N4:O4"/>
    <mergeCell ref="N5:O5"/>
    <mergeCell ref="N6:O6"/>
    <mergeCell ref="N7:N8"/>
    <mergeCell ref="N9:O9"/>
    <mergeCell ref="AA10:AA14"/>
    <mergeCell ref="N11:O11"/>
    <mergeCell ref="W14:X14"/>
    <mergeCell ref="F12:G12"/>
    <mergeCell ref="S12:T12"/>
    <mergeCell ref="N13:O13"/>
    <mergeCell ref="D14:F14"/>
    <mergeCell ref="H14:I14"/>
    <mergeCell ref="S14:U14"/>
    <mergeCell ref="D19:F19"/>
    <mergeCell ref="S19:U19"/>
    <mergeCell ref="AB19:AB22"/>
    <mergeCell ref="D20:F20"/>
    <mergeCell ref="S20:U20"/>
    <mergeCell ref="S16:Y16"/>
    <mergeCell ref="AA16:AA18"/>
    <mergeCell ref="AB16:AB18"/>
    <mergeCell ref="AC16:AC18"/>
    <mergeCell ref="N18:O18"/>
    <mergeCell ref="D21:F21"/>
    <mergeCell ref="S21:U21"/>
    <mergeCell ref="D22:F22"/>
    <mergeCell ref="S22:U22"/>
    <mergeCell ref="D23:F23"/>
    <mergeCell ref="S23:U23"/>
    <mergeCell ref="AE28:AE29"/>
    <mergeCell ref="D29:F29"/>
    <mergeCell ref="S29:U29"/>
    <mergeCell ref="D24:F24"/>
    <mergeCell ref="S24:U24"/>
    <mergeCell ref="D25:F25"/>
    <mergeCell ref="S25:U25"/>
    <mergeCell ref="D26:F26"/>
    <mergeCell ref="S26:U26"/>
    <mergeCell ref="D32:F32"/>
    <mergeCell ref="S32:U32"/>
    <mergeCell ref="AB26:AC26"/>
    <mergeCell ref="D27:F27"/>
    <mergeCell ref="S27:U27"/>
    <mergeCell ref="D28:F28"/>
    <mergeCell ref="S28:U28"/>
    <mergeCell ref="D30:F30"/>
    <mergeCell ref="S30:U30"/>
    <mergeCell ref="AE30:AE31"/>
    <mergeCell ref="D31:F31"/>
    <mergeCell ref="S31:U31"/>
    <mergeCell ref="D33:F33"/>
    <mergeCell ref="S33:U33"/>
    <mergeCell ref="AB33:AE34"/>
    <mergeCell ref="S34:Y34"/>
    <mergeCell ref="D35:F35"/>
    <mergeCell ref="S35:U35"/>
    <mergeCell ref="V56:Y62"/>
    <mergeCell ref="D36:F36"/>
    <mergeCell ref="D37:F37"/>
    <mergeCell ref="D38:F38"/>
    <mergeCell ref="S38:U38"/>
    <mergeCell ref="D40:F40"/>
    <mergeCell ref="S40:U40"/>
    <mergeCell ref="D43:H43"/>
    <mergeCell ref="N43:O43"/>
    <mergeCell ref="S43:W43"/>
    <mergeCell ref="N44:O44"/>
    <mergeCell ref="H48:U48"/>
  </mergeCells>
  <conditionalFormatting sqref="D23">
    <cfRule type="expression" dxfId="259" priority="122">
      <formula>$H$23=0</formula>
    </cfRule>
    <cfRule type="expression" dxfId="258" priority="163">
      <formula>ISBLANK($J$12)</formula>
    </cfRule>
  </conditionalFormatting>
  <conditionalFormatting sqref="D25">
    <cfRule type="expression" dxfId="257" priority="177">
      <formula>ISBLANK($D$25)</formula>
    </cfRule>
  </conditionalFormatting>
  <conditionalFormatting sqref="D26">
    <cfRule type="expression" dxfId="256" priority="142">
      <formula>ISBLANK($D$26)</formula>
    </cfRule>
  </conditionalFormatting>
  <conditionalFormatting sqref="D29">
    <cfRule type="expression" dxfId="255" priority="176">
      <formula>ISBLANK($D$29)</formula>
    </cfRule>
  </conditionalFormatting>
  <conditionalFormatting sqref="D30">
    <cfRule type="expression" dxfId="254" priority="180">
      <formula>ISBLANK(#REF!)</formula>
    </cfRule>
    <cfRule type="expression" dxfId="253" priority="148">
      <formula>ISBLANK($D$30)</formula>
    </cfRule>
  </conditionalFormatting>
  <conditionalFormatting sqref="D32">
    <cfRule type="expression" dxfId="252" priority="132">
      <formula>ISBLANK($D$32)</formula>
    </cfRule>
  </conditionalFormatting>
  <conditionalFormatting sqref="D19:F19">
    <cfRule type="expression" dxfId="251" priority="95">
      <formula>OR(ISBLANK($D$14),ISBLANK($H$12))</formula>
    </cfRule>
  </conditionalFormatting>
  <conditionalFormatting sqref="D20:F20">
    <cfRule type="expression" dxfId="250" priority="162">
      <formula>ISBLANK($D$20)</formula>
    </cfRule>
  </conditionalFormatting>
  <conditionalFormatting sqref="D21:F21">
    <cfRule type="expression" dxfId="249" priority="94">
      <formula>OR(ISBLANK($D$14),ISBLANK($H$12))</formula>
    </cfRule>
  </conditionalFormatting>
  <conditionalFormatting sqref="D22:F22">
    <cfRule type="expression" dxfId="248" priority="161">
      <formula>ISBLANK($D$22)</formula>
    </cfRule>
  </conditionalFormatting>
  <conditionalFormatting sqref="D24:F24">
    <cfRule type="expression" dxfId="247" priority="35">
      <formula>ISBLANK($D$24)</formula>
    </cfRule>
  </conditionalFormatting>
  <conditionalFormatting sqref="D27:F27">
    <cfRule type="expression" dxfId="246" priority="31">
      <formula>ISBLANK($D$27)</formula>
    </cfRule>
  </conditionalFormatting>
  <conditionalFormatting sqref="D28:F28">
    <cfRule type="expression" dxfId="245" priority="178">
      <formula>ISBLANK($D$28)</formula>
    </cfRule>
  </conditionalFormatting>
  <conditionalFormatting sqref="D31:F31">
    <cfRule type="expression" dxfId="244" priority="64">
      <formula>ISBLANK($D$31)</formula>
    </cfRule>
  </conditionalFormatting>
  <conditionalFormatting sqref="D33:F33">
    <cfRule type="expression" dxfId="243" priority="127">
      <formula>ISBLANK($D$33)</formula>
    </cfRule>
  </conditionalFormatting>
  <conditionalFormatting sqref="D43:H43">
    <cfRule type="expression" dxfId="242" priority="58">
      <formula>$D$43&lt;&gt;""</formula>
    </cfRule>
  </conditionalFormatting>
  <conditionalFormatting sqref="G20">
    <cfRule type="expression" dxfId="241" priority="156">
      <formula>ISBLANK($D$20)</formula>
    </cfRule>
    <cfRule type="expression" dxfId="240" priority="137">
      <formula>$H$20=0</formula>
    </cfRule>
  </conditionalFormatting>
  <conditionalFormatting sqref="G22">
    <cfRule type="expression" dxfId="239" priority="136">
      <formula>$H$22=0</formula>
    </cfRule>
    <cfRule type="expression" dxfId="238" priority="155">
      <formula>ISBLANK($D$22)</formula>
    </cfRule>
  </conditionalFormatting>
  <conditionalFormatting sqref="G23">
    <cfRule type="expression" dxfId="237" priority="2">
      <formula>$H$23=0</formula>
    </cfRule>
  </conditionalFormatting>
  <conditionalFormatting sqref="G24">
    <cfRule type="expression" dxfId="236" priority="36">
      <formula>OR(ISBLANK($D$24),$H$24=0)</formula>
    </cfRule>
  </conditionalFormatting>
  <conditionalFormatting sqref="G25">
    <cfRule type="expression" dxfId="235" priority="135">
      <formula>$H$25=0</formula>
    </cfRule>
    <cfRule type="expression" dxfId="234" priority="174">
      <formula>ISBLANK($D$25)</formula>
    </cfRule>
  </conditionalFormatting>
  <conditionalFormatting sqref="G26">
    <cfRule type="expression" dxfId="233" priority="141">
      <formula>ISBLANK($D$26)</formula>
    </cfRule>
    <cfRule type="expression" dxfId="232" priority="133">
      <formula>$H$26=0</formula>
    </cfRule>
  </conditionalFormatting>
  <conditionalFormatting sqref="G27 I27">
    <cfRule type="expression" dxfId="231" priority="27">
      <formula>$H$27=0</formula>
    </cfRule>
  </conditionalFormatting>
  <conditionalFormatting sqref="G29">
    <cfRule type="expression" dxfId="230" priority="143">
      <formula>$G$29=0</formula>
    </cfRule>
    <cfRule type="expression" dxfId="229" priority="134">
      <formula>$H$29=0</formula>
    </cfRule>
  </conditionalFormatting>
  <conditionalFormatting sqref="G37">
    <cfRule type="expression" dxfId="228" priority="48">
      <formula>$G$37=0</formula>
    </cfRule>
  </conditionalFormatting>
  <conditionalFormatting sqref="G19:H19">
    <cfRule type="expression" dxfId="227" priority="120">
      <formula>$H$19=0</formula>
    </cfRule>
  </conditionalFormatting>
  <conditionalFormatting sqref="G21:H21">
    <cfRule type="expression" dxfId="226" priority="117">
      <formula>$H$21=0</formula>
    </cfRule>
  </conditionalFormatting>
  <conditionalFormatting sqref="G28:H28">
    <cfRule type="expression" dxfId="225" priority="116">
      <formula>$H$28=0</formula>
    </cfRule>
  </conditionalFormatting>
  <conditionalFormatting sqref="H12">
    <cfRule type="expression" dxfId="224" priority="45">
      <formula>$H$12=0</formula>
    </cfRule>
  </conditionalFormatting>
  <conditionalFormatting sqref="H20">
    <cfRule type="expression" dxfId="223" priority="160">
      <formula>AND(ISBLANK($D$20),$H$20&gt;0)</formula>
    </cfRule>
    <cfRule type="expression" dxfId="222" priority="157">
      <formula>AND(ISBLANK($D$20),$H$20=0)</formula>
    </cfRule>
    <cfRule type="expression" dxfId="221" priority="159">
      <formula>AND(NOT(ISBLANK($D$20)),$H$20=0)</formula>
    </cfRule>
  </conditionalFormatting>
  <conditionalFormatting sqref="H22">
    <cfRule type="expression" dxfId="220" priority="154">
      <formula>AND(ISBLANK($D$22),$H$22=0)</formula>
    </cfRule>
    <cfRule type="expression" dxfId="219" priority="153">
      <formula>AND(ISBLANK($D$22),$H$22&gt;0)</formula>
    </cfRule>
    <cfRule type="expression" dxfId="218" priority="152">
      <formula>AND(NOT(ISBLANK($D$22)),$H$22=0)</formula>
    </cfRule>
  </conditionalFormatting>
  <conditionalFormatting sqref="H23">
    <cfRule type="cellIs" dxfId="217" priority="3" operator="equal">
      <formula>0</formula>
    </cfRule>
  </conditionalFormatting>
  <conditionalFormatting sqref="H24">
    <cfRule type="expression" dxfId="216" priority="37">
      <formula>AND(NOT(ISBLANK($D$24)),$H$24=0)</formula>
    </cfRule>
    <cfRule type="expression" dxfId="215" priority="39">
      <formula>AND(ISBLANK($D$24),$H$24&gt;0)</formula>
    </cfRule>
    <cfRule type="expression" dxfId="214" priority="38">
      <formula>AND(ISBLANK($D$24),$H$24=0)</formula>
    </cfRule>
  </conditionalFormatting>
  <conditionalFormatting sqref="H25">
    <cfRule type="expression" dxfId="213" priority="175">
      <formula>ISBLANK($D$25)</formula>
    </cfRule>
    <cfRule type="expression" dxfId="212" priority="171">
      <formula>AND(ISBLANK($D$25),$H$25&gt;0)</formula>
    </cfRule>
    <cfRule type="expression" dxfId="211" priority="172">
      <formula>AND(NOT(ISBLANK($D$25)),$H$25=0)</formula>
    </cfRule>
    <cfRule type="expression" dxfId="210" priority="173">
      <formula>$H$25=0</formula>
    </cfRule>
  </conditionalFormatting>
  <conditionalFormatting sqref="H26">
    <cfRule type="expression" dxfId="209" priority="139">
      <formula>AND(ISBLANK($D$26),$H$26&gt;0)</formula>
    </cfRule>
    <cfRule type="expression" dxfId="208" priority="138">
      <formula>AND(NOT(ISBLANK($D$26)),$H$26=0)</formula>
    </cfRule>
    <cfRule type="expression" dxfId="207" priority="140">
      <formula>AND(ISBLANK($D$26),$H$26=0)</formula>
    </cfRule>
  </conditionalFormatting>
  <conditionalFormatting sqref="H27">
    <cfRule type="expression" dxfId="206" priority="28">
      <formula>AND(NOT(ISBLANK($D$27)),$H$27=0)</formula>
    </cfRule>
    <cfRule type="expression" dxfId="205" priority="29">
      <formula>AND(ISBLANK($D$27),$H$27=0)</formula>
    </cfRule>
    <cfRule type="expression" dxfId="204" priority="30">
      <formula>AND(ISBLANK($D$27),$H$27&gt;0)</formula>
    </cfRule>
  </conditionalFormatting>
  <conditionalFormatting sqref="H28">
    <cfRule type="expression" dxfId="203" priority="123">
      <formula>AND(ISBLANK($D$28),$H$28=0)</formula>
    </cfRule>
  </conditionalFormatting>
  <conditionalFormatting sqref="H29">
    <cfRule type="expression" dxfId="202" priority="170">
      <formula>AND(ISBLANK($D$29),$H$29&gt;0)</formula>
    </cfRule>
    <cfRule type="expression" dxfId="201" priority="149">
      <formula>AND(NOT(ISBLANK($D$29)),$H$29=0)</formula>
    </cfRule>
    <cfRule type="expression" dxfId="200" priority="169">
      <formula>AND(ISBLANK($D$29),$H$29=0)</formula>
    </cfRule>
  </conditionalFormatting>
  <conditionalFormatting sqref="H30">
    <cfRule type="expression" dxfId="199" priority="147">
      <formula>AND(ISBLANK($D$30),$H$30=0)</formula>
    </cfRule>
    <cfRule type="expression" dxfId="198" priority="145">
      <formula>AND(NOT(ISBLANK($D$30)),$H$30=0)</formula>
    </cfRule>
    <cfRule type="expression" dxfId="197" priority="146">
      <formula>AND(ISBLANK($D$30),OR($H$30&lt;0,$H$30&gt;0))</formula>
    </cfRule>
  </conditionalFormatting>
  <conditionalFormatting sqref="H31">
    <cfRule type="expression" dxfId="196" priority="67">
      <formula>AND(ISBLANK($D$31),$H$31&gt;0)</formula>
    </cfRule>
    <cfRule type="expression" dxfId="195" priority="66">
      <formula>AND(NOT(ISBLANK($D$31)),$H$31=0)</formula>
    </cfRule>
    <cfRule type="expression" dxfId="194" priority="63">
      <formula>AND(ISBLANK($D$31),$H$31=0)</formula>
    </cfRule>
  </conditionalFormatting>
  <conditionalFormatting sqref="H32">
    <cfRule type="expression" dxfId="193" priority="129">
      <formula>AND(NOT(ISBLANK($D$32)),$H$32=0)</formula>
    </cfRule>
    <cfRule type="expression" dxfId="192" priority="128">
      <formula>AND(ISBLANK($D$32),$H$32=0)</formula>
    </cfRule>
    <cfRule type="expression" dxfId="191" priority="130">
      <formula>AND(ISBLANK($D$32),$H$32&gt;0)</formula>
    </cfRule>
  </conditionalFormatting>
  <conditionalFormatting sqref="H38">
    <cfRule type="expression" dxfId="190" priority="49">
      <formula>$H$38=0</formula>
    </cfRule>
  </conditionalFormatting>
  <conditionalFormatting sqref="H10:J10 W10:Y10">
    <cfRule type="expression" dxfId="189" priority="9">
      <formula>ISBLANK($N$1)</formula>
    </cfRule>
  </conditionalFormatting>
  <conditionalFormatting sqref="I19">
    <cfRule type="expression" dxfId="188" priority="119">
      <formula>$I$19=0</formula>
    </cfRule>
  </conditionalFormatting>
  <conditionalFormatting sqref="I20">
    <cfRule type="expression" dxfId="187" priority="158">
      <formula>$I$20=0</formula>
    </cfRule>
  </conditionalFormatting>
  <conditionalFormatting sqref="I21">
    <cfRule type="expression" dxfId="186" priority="118">
      <formula>$I$21=0</formula>
    </cfRule>
  </conditionalFormatting>
  <conditionalFormatting sqref="I22">
    <cfRule type="expression" dxfId="185" priority="151">
      <formula>$I$22=0</formula>
    </cfRule>
  </conditionalFormatting>
  <conditionalFormatting sqref="I23">
    <cfRule type="expression" dxfId="184" priority="165">
      <formula>$I$23=0</formula>
    </cfRule>
  </conditionalFormatting>
  <conditionalFormatting sqref="I24">
    <cfRule type="expression" dxfId="183" priority="34">
      <formula>$I$24=0</formula>
    </cfRule>
  </conditionalFormatting>
  <conditionalFormatting sqref="I25">
    <cfRule type="expression" dxfId="182" priority="167">
      <formula>AND(NOT(ISBLANK($D$25)),$I$25=0)</formula>
    </cfRule>
    <cfRule type="expression" dxfId="181" priority="168">
      <formula>AND(ISBLANK($D$25),$I$25=0)</formula>
    </cfRule>
  </conditionalFormatting>
  <conditionalFormatting sqref="I26">
    <cfRule type="expression" dxfId="180" priority="121">
      <formula>$I$26=0</formula>
    </cfRule>
  </conditionalFormatting>
  <conditionalFormatting sqref="I28">
    <cfRule type="expression" dxfId="179" priority="115">
      <formula>$I$28=0</formula>
    </cfRule>
    <cfRule type="expression" dxfId="178" priority="166">
      <formula>ISBLANK($D$28)</formula>
    </cfRule>
  </conditionalFormatting>
  <conditionalFormatting sqref="I29">
    <cfRule type="expression" dxfId="177" priority="150">
      <formula>$I$29=0</formula>
    </cfRule>
    <cfRule type="expression" dxfId="176" priority="164">
      <formula>AND(ISBLANK($D$29),$I$29=0)</formula>
    </cfRule>
  </conditionalFormatting>
  <conditionalFormatting sqref="I30">
    <cfRule type="expression" dxfId="175" priority="144">
      <formula>$I$30=0</formula>
    </cfRule>
  </conditionalFormatting>
  <conditionalFormatting sqref="I31">
    <cfRule type="expression" dxfId="174" priority="65">
      <formula>$I$31=0</formula>
    </cfRule>
  </conditionalFormatting>
  <conditionalFormatting sqref="I32">
    <cfRule type="expression" dxfId="173" priority="131">
      <formula>$I$32=0</formula>
    </cfRule>
  </conditionalFormatting>
  <conditionalFormatting sqref="I33">
    <cfRule type="expression" dxfId="172" priority="126">
      <formula>AND(ISBLANK($D$33),$I$33&lt;0)</formula>
    </cfRule>
    <cfRule type="expression" dxfId="171" priority="125">
      <formula>AND(ISBLANK($D$33),$I$33=0)</formula>
    </cfRule>
    <cfRule type="expression" dxfId="170" priority="124">
      <formula>AND(NOT(ISBLANK($D$33)),$I$33=0)</formula>
    </cfRule>
  </conditionalFormatting>
  <conditionalFormatting sqref="I50">
    <cfRule type="expression" dxfId="169" priority="24">
      <formula>$J$50=0</formula>
    </cfRule>
  </conditionalFormatting>
  <conditionalFormatting sqref="I51">
    <cfRule type="expression" dxfId="168" priority="80">
      <formula>$J$51=0</formula>
    </cfRule>
  </conditionalFormatting>
  <conditionalFormatting sqref="I52">
    <cfRule type="expression" dxfId="167" priority="23">
      <formula>$J$52=0</formula>
    </cfRule>
  </conditionalFormatting>
  <conditionalFormatting sqref="I53">
    <cfRule type="expression" dxfId="166" priority="79">
      <formula>$J$53=0</formula>
    </cfRule>
  </conditionalFormatting>
  <conditionalFormatting sqref="I54">
    <cfRule type="expression" dxfId="165" priority="22">
      <formula>$J$54=0</formula>
    </cfRule>
  </conditionalFormatting>
  <conditionalFormatting sqref="I55">
    <cfRule type="expression" dxfId="164" priority="76">
      <formula>$J$55=0</formula>
    </cfRule>
  </conditionalFormatting>
  <conditionalFormatting sqref="I56">
    <cfRule type="expression" dxfId="163" priority="78">
      <formula>$J$56=0</formula>
    </cfRule>
  </conditionalFormatting>
  <conditionalFormatting sqref="I57">
    <cfRule type="expression" dxfId="162" priority="21">
      <formula>$J$57=0</formula>
    </cfRule>
  </conditionalFormatting>
  <conditionalFormatting sqref="I58">
    <cfRule type="expression" dxfId="161" priority="20">
      <formula>$J$58=0</formula>
    </cfRule>
  </conditionalFormatting>
  <conditionalFormatting sqref="I59">
    <cfRule type="expression" dxfId="160" priority="75">
      <formula>$J$59=0</formula>
    </cfRule>
  </conditionalFormatting>
  <conditionalFormatting sqref="I64">
    <cfRule type="expression" dxfId="159" priority="13">
      <formula>$J$64=0</formula>
    </cfRule>
  </conditionalFormatting>
  <conditionalFormatting sqref="I65">
    <cfRule type="expression" dxfId="158" priority="56">
      <formula>$J$65=0</formula>
    </cfRule>
  </conditionalFormatting>
  <conditionalFormatting sqref="J50:J59 S50:S59 N50:N60 N63:N64 J63:J65 S63:S65">
    <cfRule type="cellIs" dxfId="157" priority="88" operator="equal">
      <formula>0</formula>
    </cfRule>
  </conditionalFormatting>
  <conditionalFormatting sqref="N7:N8 N10 N12">
    <cfRule type="cellIs" dxfId="156" priority="6" operator="equal">
      <formula>0</formula>
    </cfRule>
  </conditionalFormatting>
  <conditionalFormatting sqref="N14:N15">
    <cfRule type="expression" dxfId="155" priority="101">
      <formula>$N$14&lt;0</formula>
    </cfRule>
  </conditionalFormatting>
  <conditionalFormatting sqref="N19:N38">
    <cfRule type="cellIs" dxfId="154" priority="97" operator="lessThan">
      <formula>0</formula>
    </cfRule>
    <cfRule type="cellIs" dxfId="153" priority="98" operator="equal">
      <formula>0</formula>
    </cfRule>
  </conditionalFormatting>
  <conditionalFormatting sqref="N45 N50:N59">
    <cfRule type="cellIs" dxfId="152" priority="60" operator="lessThan">
      <formula>0</formula>
    </cfRule>
  </conditionalFormatting>
  <conditionalFormatting sqref="N63:N65">
    <cfRule type="cellIs" dxfId="151" priority="59" operator="lessThan">
      <formula>0</formula>
    </cfRule>
  </conditionalFormatting>
  <conditionalFormatting sqref="N66">
    <cfRule type="cellIs" dxfId="150" priority="70" operator="equal">
      <formula>0</formula>
    </cfRule>
  </conditionalFormatting>
  <conditionalFormatting sqref="N69">
    <cfRule type="cellIs" dxfId="149" priority="69" operator="equal">
      <formula>0</formula>
    </cfRule>
  </conditionalFormatting>
  <conditionalFormatting sqref="S23">
    <cfRule type="expression" dxfId="148" priority="105">
      <formula>OR(ISBLANK($J$12),$W$23=0)</formula>
    </cfRule>
  </conditionalFormatting>
  <conditionalFormatting sqref="S25">
    <cfRule type="expression" dxfId="147" priority="90">
      <formula>ISBLANK($S$25)</formula>
    </cfRule>
  </conditionalFormatting>
  <conditionalFormatting sqref="S30">
    <cfRule type="expression" dxfId="146" priority="83">
      <formula>ISBLANK($D$30)</formula>
    </cfRule>
  </conditionalFormatting>
  <conditionalFormatting sqref="S19:U19">
    <cfRule type="expression" dxfId="145" priority="93">
      <formula>OR(ISBLANK($S$14),ISBLANK($W$12))</formula>
    </cfRule>
  </conditionalFormatting>
  <conditionalFormatting sqref="S21:U21">
    <cfRule type="expression" dxfId="144" priority="92">
      <formula>OR(ISBLANK($S$14),ISBLANK($W$12))</formula>
    </cfRule>
  </conditionalFormatting>
  <conditionalFormatting sqref="S24:U24">
    <cfRule type="expression" dxfId="143" priority="40">
      <formula>ISBLANK($D$24)</formula>
    </cfRule>
  </conditionalFormatting>
  <conditionalFormatting sqref="S25:U25">
    <cfRule type="cellIs" dxfId="142" priority="4" operator="equal">
      <formula>0</formula>
    </cfRule>
  </conditionalFormatting>
  <conditionalFormatting sqref="S26:U26">
    <cfRule type="expression" dxfId="141" priority="86">
      <formula>ISBLANK($D$26)</formula>
    </cfRule>
  </conditionalFormatting>
  <conditionalFormatting sqref="S27:U27">
    <cfRule type="expression" dxfId="140" priority="26">
      <formula>ISBLANK($D$27)</formula>
    </cfRule>
  </conditionalFormatting>
  <conditionalFormatting sqref="S29:U29">
    <cfRule type="expression" dxfId="139" priority="84">
      <formula>ISBLANK($D$29)</formula>
    </cfRule>
  </conditionalFormatting>
  <conditionalFormatting sqref="S31:U31">
    <cfRule type="expression" dxfId="138" priority="68">
      <formula>ISBLANK($D$31)</formula>
    </cfRule>
  </conditionalFormatting>
  <conditionalFormatting sqref="S32:U32">
    <cfRule type="expression" dxfId="137" priority="87">
      <formula>ISBLANK($D$32)</formula>
    </cfRule>
  </conditionalFormatting>
  <conditionalFormatting sqref="S33:U33">
    <cfRule type="expression" dxfId="136" priority="89">
      <formula>ISBLANK($D$33)</formula>
    </cfRule>
  </conditionalFormatting>
  <conditionalFormatting sqref="S20:W20">
    <cfRule type="expression" dxfId="135" priority="62">
      <formula>$W$20=0</formula>
    </cfRule>
  </conditionalFormatting>
  <conditionalFormatting sqref="S22:W22">
    <cfRule type="expression" dxfId="134" priority="61">
      <formula>$W$22=0</formula>
    </cfRule>
  </conditionalFormatting>
  <conditionalFormatting sqref="S43:W43">
    <cfRule type="expression" dxfId="133" priority="57">
      <formula>$S$43&lt;&gt;""</formula>
    </cfRule>
  </conditionalFormatting>
  <conditionalFormatting sqref="S19:X19">
    <cfRule type="expression" dxfId="132" priority="42">
      <formula>$W$19=0</formula>
    </cfRule>
  </conditionalFormatting>
  <conditionalFormatting sqref="S21:X21">
    <cfRule type="expression" dxfId="131" priority="41">
      <formula>$W$21=0</formula>
    </cfRule>
  </conditionalFormatting>
  <conditionalFormatting sqref="S28:X28">
    <cfRule type="expression" dxfId="130" priority="102">
      <formula>ISBLANK($D$28)</formula>
    </cfRule>
  </conditionalFormatting>
  <conditionalFormatting sqref="S16:Y16">
    <cfRule type="expression" dxfId="129" priority="11">
      <formula>AND(NOT(ISBLANK(J12)),$Y$10&gt;$J$10)</formula>
    </cfRule>
  </conditionalFormatting>
  <conditionalFormatting sqref="S34:Y34">
    <cfRule type="cellIs" dxfId="128" priority="5" operator="equal">
      <formula>0</formula>
    </cfRule>
  </conditionalFormatting>
  <conditionalFormatting sqref="T50">
    <cfRule type="expression" dxfId="127" priority="19">
      <formula>$S$50=0</formula>
    </cfRule>
  </conditionalFormatting>
  <conditionalFormatting sqref="T51">
    <cfRule type="expression" dxfId="126" priority="74">
      <formula>$S$51=0</formula>
    </cfRule>
  </conditionalFormatting>
  <conditionalFormatting sqref="T52">
    <cfRule type="expression" dxfId="125" priority="18">
      <formula>$S$52=0</formula>
    </cfRule>
  </conditionalFormatting>
  <conditionalFormatting sqref="T53">
    <cfRule type="expression" dxfId="124" priority="73">
      <formula>$S$53=0</formula>
    </cfRule>
  </conditionalFormatting>
  <conditionalFormatting sqref="T54">
    <cfRule type="expression" dxfId="123" priority="17">
      <formula>$S$54=0</formula>
    </cfRule>
  </conditionalFormatting>
  <conditionalFormatting sqref="T55">
    <cfRule type="expression" dxfId="122" priority="16">
      <formula>$S$55=0</formula>
    </cfRule>
  </conditionalFormatting>
  <conditionalFormatting sqref="T56">
    <cfRule type="expression" dxfId="121" priority="72">
      <formula>$S$56=0</formula>
    </cfRule>
  </conditionalFormatting>
  <conditionalFormatting sqref="T57">
    <cfRule type="expression" dxfId="120" priority="15">
      <formula>$S$57=0</formula>
    </cfRule>
  </conditionalFormatting>
  <conditionalFormatting sqref="T58">
    <cfRule type="expression" dxfId="119" priority="14">
      <formula>$S$58=0</formula>
    </cfRule>
  </conditionalFormatting>
  <conditionalFormatting sqref="T59">
    <cfRule type="expression" dxfId="118" priority="71">
      <formula>$S$59=0</formula>
    </cfRule>
  </conditionalFormatting>
  <conditionalFormatting sqref="T63">
    <cfRule type="expression" dxfId="117" priority="77">
      <formula>$S$63=0</formula>
    </cfRule>
  </conditionalFormatting>
  <conditionalFormatting sqref="T64">
    <cfRule type="expression" dxfId="116" priority="12">
      <formula>$S$64=0</formula>
    </cfRule>
  </conditionalFormatting>
  <conditionalFormatting sqref="T65">
    <cfRule type="expression" dxfId="115" priority="55">
      <formula>$S$65=0</formula>
    </cfRule>
  </conditionalFormatting>
  <conditionalFormatting sqref="V14">
    <cfRule type="expression" dxfId="114" priority="114">
      <formula>NOT($G$14=$V$14)</formula>
    </cfRule>
    <cfRule type="cellIs" dxfId="113" priority="179" operator="equal">
      <formula>$G$14</formula>
    </cfRule>
  </conditionalFormatting>
  <conditionalFormatting sqref="V20">
    <cfRule type="expression" dxfId="112" priority="111">
      <formula>ISBLANK($D$20)</formula>
    </cfRule>
    <cfRule type="expression" dxfId="111" priority="113">
      <formula>OR(ISBLANK($W$20),$W$20=0)</formula>
    </cfRule>
  </conditionalFormatting>
  <conditionalFormatting sqref="V22">
    <cfRule type="expression" dxfId="110" priority="109">
      <formula>ISBLANK($D$22)</formula>
    </cfRule>
  </conditionalFormatting>
  <conditionalFormatting sqref="V29">
    <cfRule type="expression" dxfId="109" priority="85">
      <formula>$W$29=0</formula>
    </cfRule>
  </conditionalFormatting>
  <conditionalFormatting sqref="V37">
    <cfRule type="expression" dxfId="108" priority="47">
      <formula>$V$37=0</formula>
    </cfRule>
    <cfRule type="expression" dxfId="107" priority="99">
      <formula>$G$37&lt;&gt;$V$37</formula>
    </cfRule>
  </conditionalFormatting>
  <conditionalFormatting sqref="V23:W23">
    <cfRule type="expression" dxfId="106" priority="1">
      <formula>$W$23=0</formula>
    </cfRule>
  </conditionalFormatting>
  <conditionalFormatting sqref="V24:X24">
    <cfRule type="expression" dxfId="105" priority="33">
      <formula>$W$24=0</formula>
    </cfRule>
  </conditionalFormatting>
  <conditionalFormatting sqref="V25:X25">
    <cfRule type="expression" dxfId="104" priority="104">
      <formula>$W$25=0</formula>
    </cfRule>
  </conditionalFormatting>
  <conditionalFormatting sqref="V26:X26">
    <cfRule type="expression" dxfId="103" priority="25">
      <formula>$W$26=0</formula>
    </cfRule>
  </conditionalFormatting>
  <conditionalFormatting sqref="V27:X27">
    <cfRule type="expression" dxfId="102" priority="32">
      <formula>$W$27=0</formula>
    </cfRule>
  </conditionalFormatting>
  <conditionalFormatting sqref="W12">
    <cfRule type="expression" dxfId="101" priority="96">
      <formula>ISBLANK($H$12)</formula>
    </cfRule>
    <cfRule type="expression" dxfId="100" priority="81">
      <formula>$H$12&lt;&gt;$W$12</formula>
    </cfRule>
    <cfRule type="expression" dxfId="99" priority="44">
      <formula>$W$12=0</formula>
    </cfRule>
  </conditionalFormatting>
  <conditionalFormatting sqref="W20">
    <cfRule type="expression" dxfId="98" priority="112">
      <formula>AND(ISBLANK($D$20),$W$20&gt;0)</formula>
    </cfRule>
  </conditionalFormatting>
  <conditionalFormatting sqref="W22">
    <cfRule type="expression" dxfId="97" priority="100">
      <formula>AND(ISBLANK($D$22),$W$22&gt;0)</formula>
    </cfRule>
  </conditionalFormatting>
  <conditionalFormatting sqref="W38">
    <cfRule type="expression" dxfId="96" priority="50">
      <formula>OR($W$38&gt;$H$38,$W$38&lt;$H$38)</formula>
    </cfRule>
    <cfRule type="expression" dxfId="95" priority="46">
      <formula>$W$38=0</formula>
    </cfRule>
  </conditionalFormatting>
  <conditionalFormatting sqref="W14:X15">
    <cfRule type="expression" dxfId="94" priority="43">
      <formula>AND(MID(S14,1,6)="Area 5",$W$14="Mes 2025 (Tablas 2024)")</formula>
    </cfRule>
  </conditionalFormatting>
  <conditionalFormatting sqref="W25:X25">
    <cfRule type="expression" dxfId="93" priority="181">
      <formula>AND($S$25="Complemento Absorbible 2025 (con Subida)",$Y$25&gt;$X$25)</formula>
    </cfRule>
  </conditionalFormatting>
  <conditionalFormatting sqref="W29:X32">
    <cfRule type="cellIs" dxfId="92" priority="103" operator="equal">
      <formula>0</formula>
    </cfRule>
  </conditionalFormatting>
  <conditionalFormatting sqref="X20">
    <cfRule type="expression" dxfId="91" priority="110">
      <formula>$X$20=0</formula>
    </cfRule>
  </conditionalFormatting>
  <conditionalFormatting sqref="X22">
    <cfRule type="expression" dxfId="90" priority="108">
      <formula>$X$22=0</formula>
    </cfRule>
  </conditionalFormatting>
  <conditionalFormatting sqref="X23">
    <cfRule type="expression" dxfId="89" priority="106">
      <formula>$X$23=0</formula>
    </cfRule>
  </conditionalFormatting>
  <conditionalFormatting sqref="X33">
    <cfRule type="expression" dxfId="88" priority="51">
      <formula>AND($X$33&lt;0,$X$33&lt;&gt;$I$33)</formula>
    </cfRule>
    <cfRule type="cellIs" dxfId="87" priority="82" operator="equal">
      <formula>0</formula>
    </cfRule>
    <cfRule type="expression" dxfId="86" priority="52">
      <formula>AND($S$33=0,$X$33&lt;0)</formula>
    </cfRule>
    <cfRule type="expression" dxfId="85" priority="54">
      <formula>AND(NOT(ISBLANK($S$33)),$X$33=0)</formula>
    </cfRule>
    <cfRule type="expression" dxfId="84" priority="53">
      <formula>$S$33=0</formula>
    </cfRule>
  </conditionalFormatting>
  <conditionalFormatting sqref="Y25">
    <cfRule type="expression" dxfId="83" priority="182">
      <formula>AND($S$25="Complemento Absorbible 2025 (con Subida)",$Y$25=0)</formula>
    </cfRule>
    <cfRule type="cellIs" dxfId="82" priority="183" operator="equal">
      <formula>0</formula>
    </cfRule>
    <cfRule type="expression" dxfId="80" priority="185">
      <formula>$S$25="Complemento Absorbible 2025 (con Subida)"</formula>
    </cfRule>
  </conditionalFormatting>
  <conditionalFormatting sqref="Y26:Y27">
    <cfRule type="expression" dxfId="79" priority="8">
      <formula>ISBLANK($N$1)</formula>
    </cfRule>
  </conditionalFormatting>
  <conditionalFormatting sqref="Y28:Y30">
    <cfRule type="expression" dxfId="78" priority="7">
      <formula>ISBLANK($N$1)</formula>
    </cfRule>
  </conditionalFormatting>
  <conditionalFormatting sqref="AA16:AE27 Y19:Y24 J19:J33 AB28:AE30 AA31:AE34">
    <cfRule type="expression" dxfId="77" priority="10">
      <formula>ISBLANK($N$1)</formula>
    </cfRule>
  </conditionalFormatting>
  <dataValidations count="30">
    <dataValidation type="list" allowBlank="1" showInputMessage="1" showErrorMessage="1" sqref="N1:O1" xr:uid="{02D2CF7B-1E08-4A1C-AD3E-29BC484F7F74}">
      <formula1>ver</formula1>
    </dataValidation>
    <dataValidation type="list" allowBlank="1" showInputMessage="1" showErrorMessage="1" sqref="D27:F27" xr:uid="{D2AE014B-1D86-489E-A335-6749E747BD76}">
      <formula1>absorbe_solo_tablas</formula1>
    </dataValidation>
    <dataValidation type="decimal" allowBlank="1" showInputMessage="1" showErrorMessage="1" errorTitle="COMP. ABSORBE ANTIGÜEDAD" error="Entre 0 y 4.000 €_x000a_Recuerda que el punto decimal aquí es una coma." promptTitle="COMP. ABSORBE ANTIGÜEDAD" prompt="Entre 0 y 4.000€_x000a_Recuerda que el punto decimal aquí es una coma._x000a_---_x000a_Si aparece resaltado en naranja es que no tienes seleccionado el concepto pero hay un importe asociado. Modifica el importe a 0, para que no sea tenido en cuenta en los cálculos." sqref="H26 H24" xr:uid="{0B85540F-5B4E-4AA3-BBCB-E15C6E081AD5}">
      <formula1>0</formula1>
      <formula2>4000</formula2>
    </dataValidation>
    <dataValidation type="decimal" allowBlank="1" showErrorMessage="1" errorTitle="COMPLEMENTO ABSORBIBLE" error="Admite valores entre 0 y 4.000€_x000a_Recuerda que el punto decimal aquí es una coma." promptTitle="COMPLEMENTO ABSORBIBLE" prompt="Entre 0 y 4.000€_x000a_Recuerda que el punto decimal aquí es una coma._x000a_---_x000a_Si aparece resaltado en naranja es que no tienes seleccionado el concepto pero hay un importe asociado. Modifica el importe a 0, para que no sea tenido en cuenta en los cálculos." sqref="H24:H26" xr:uid="{ECE37673-62B6-4F71-9CCE-AB644059FE9A}">
      <formula1>0</formula1>
      <formula2>4000</formula2>
    </dataValidation>
    <dataValidation type="list" showErrorMessage="1" errorTitle="COMP. ABSORBE TRIENIO" error="Si no tienes este concepto en tu nómina, selecciona la opción en blanco del desplegable." promptTitle="COMP. ABSORBE TRIENIO" prompt="-----_x000a_Si tienes algún complemento que ÚNICAMENTE PUEDE ABSORBER LA ANTIGÜEDAD generada, pero no puede absorber las subidas salariales, elije esta opción._x000a_-----_x000a_Si no tienes este tipo de complemento elije la opción en blanco." sqref="D24:F24" xr:uid="{242C4ACD-6237-4ADD-A13C-A8C509E0E2AA}">
      <formula1>consolidado</formula1>
    </dataValidation>
    <dataValidation showInputMessage="1" showErrorMessage="1" sqref="S24 S25:U26" xr:uid="{025F21F4-C6B2-4F3C-99AD-98F76E713427}"/>
    <dataValidation type="decimal" allowBlank="1" showErrorMessage="1" errorTitle="IMPORTE NO EXENTO" error="Valor de cero o superior" promptTitle="IMPORTE NO EXENTO" prompt="Cantidad que tributa por superar el límite de importe exento en la contratación de un servicio._x000a_Ejemplo: El coste de un seguro médico está exento 500€ anuales por persona, si el seguro médico cuesta 650€ al año, 150€ del coste del seguro médico tributarán" sqref="W38 H38" xr:uid="{6138AC69-1671-4CDC-9D0C-BEB2E246E21E}">
      <formula1>0</formula1>
      <formula2>4000</formula2>
    </dataValidation>
    <dataValidation type="decimal" operator="greaterThan" allowBlank="1" showInputMessage="1" showErrorMessage="1" errorTitle="AUMENTO en C. ABSORBIBLE en 2025" error="El valor ha de ser superior al propuesto por el simulador para el complemento absorbible" promptTitle="AUMENTA TU ABSORBIBLE en 2025" prompt="--------_x000a_En tu nómina de 2025 tienes un complemento absorbible superior al que ofrece el simulador._x000a__x000a_La empresa te ha subido el salario._x000a__x000a_Introduce aquí tu nuevo complemento absorbible de 2025" sqref="Y25" xr:uid="{21457AF2-3B58-4C8D-B2A8-C17A7E366D56}">
      <formula1>X25</formula1>
    </dataValidation>
    <dataValidation type="decimal" operator="lessThan" allowBlank="1" showErrorMessage="1" errorTitle="PAGOS EN NÓMINA (en negativo)" error="Valores inferiores a 0€" promptTitle="PAGOS EN NÓMINA (en negativo)" prompt="Introduce una cantidad menor que 0._x000a_-------------_x000a_Si aparece resaltado en naranja es porque tienes una cantidad introducida y no tienes el concepto seleccionado. Introduce un 0 para que no afecte a los cálculos." sqref="X33" xr:uid="{9591B7C8-403F-4EB8-8863-9B62A69794B6}">
      <formula1>0</formula1>
    </dataValidation>
    <dataValidation showErrorMessage="1" errorTitle="PERIODO DE LIQUIDACIÓN" error="Selecciona una opción del desplegable" promptTitle="PERIODO DE LIQUIDACIÓN" prompt="Mes 2025 (Tablas 2024) = No se aplica todavía la subida de tablas de 2025._x000a_-----_x000a_Mes 2025 (Tablas 2025) = Aplicada la subida de tablas de 2025._x000a_" sqref="W14:X14" xr:uid="{1D3192BF-0FC2-4B5B-AC97-D04A85235686}"/>
    <dataValidation type="decimal" operator="lessThan" allowBlank="1" showErrorMessage="1" errorTitle="PAGOS EN NÓMINA (en negativo)" error="Valores inferiores a 0€" promptTitle="PAGOS EN NÓMINA (en negativo)" prompt="Introduce una cantidad menor que 0._x000a_-------------_x000a_Si aparece resaltado en naranja es porque tienes una cantidad introducida y no tienes el concepto seleccionado. Introduce un 0 para que no afecte a los cálculos." sqref="I33" xr:uid="{2ED6EE31-C9FE-4922-8B0F-5A0556105501}">
      <formula1>0.1</formula1>
    </dataValidation>
    <dataValidation type="list" showErrorMessage="1" errorTitle="DESCUENTOS (cant. en negativo)" error="Si no tienes, selecciona la opción en blanco del desplegable." promptTitle="DESCUENTOS (cant. en negativo)" prompt="Introduce las cantidades en negativo que aparezcan en tu nómina._x000a_----_x000a_Si no tienes, selecciona la opción en blanco" sqref="D33:F33" xr:uid="{097C2471-D227-4AF0-BF18-5D9636703E3A}">
      <formula1>Descuentos</formula1>
    </dataValidation>
    <dataValidation type="decimal" allowBlank="1" showErrorMessage="1" errorTitle="OTROS CONCEPTOS SALARIALES" error="Puedes introducir la cantidad que quieras entre 0 y 8.000 €._x000a_Recuerda que el punto decimal debe ser una coma." promptTitle="OTROS CONCEPTOS SALARIALES" prompt="Puedes introducir la cantidad que quieras entre 0 y 8.000€ _x000a_-----_x000a_Si aparece resaltado en naranja es que no tienes seleccionado el concepto pero hay un importe asociado. Modifica el importe a 0, para que no sea tenido en cuenta en los cálculos._x000a__x000a_" sqref="H30:H31" xr:uid="{8791D7B3-3BCE-4CFB-8479-32C9220154ED}">
      <formula1>0</formula1>
      <formula2>8000</formula2>
    </dataValidation>
    <dataValidation type="list" showErrorMessage="1" errorTitle="OTROS CONCEPTOS EXTRASALARIALES" error="Si no tienes otros conceptos extrasalariales en tu nómina, selecciona la opción en blanco del desplegable." promptTitle="OTROS CONCEPTOS EXTRASALARIALES" prompt="Introduce aquí gastos (Dietas, kilometraje), complementos por Incapacidad Temporal, indemnizaciones por traslado o despidos_x000a_------_x000a_Si no tienes, elije la opción en blanco" sqref="D32:F32" xr:uid="{5C676143-A08B-4F44-8FA8-0F98B4F0C157}">
      <formula1>Otros_conceptos_extrasalariales</formula1>
    </dataValidation>
    <dataValidation type="decimal" allowBlank="1" showErrorMessage="1" errorTitle="IRPF" error="Introduce tu IRPF (desde 0% al 47%)_x000a_Recuerda que el punto decimal es una coma." promptTitle="IRPF" prompt="Introduce tu IRPF (desde 0% al 47%)_x000a_Recuerda que el punto decimal es una coma." sqref="G37" xr:uid="{0EB3DD1C-78D2-45F9-8139-9003F7FE39E4}">
      <formula1>0</formula1>
      <formula2>47</formula2>
    </dataValidation>
    <dataValidation type="decimal" allowBlank="1" showErrorMessage="1" errorTitle="TELETRABAJO" error="Puedes introducir la cantidad que quieras entre 0 y 17€._x000a_Recuerda que el punto decimal debe ser una coma." promptTitle="TELETRABAJO" prompt="Puedes introducir la cantidad que quieras entre 0 y 17€ _x000a_-----_x000a_Si aparece resaltado en naranja es que no tienes seleccionado el concepto pero hay un importe asociado. Modifica el importe a 0, para que no sea tenido en cuenta en los cálculos._x000a__x000a_" sqref="H29" xr:uid="{8B6CC1C0-D917-412D-9D90-C0E17A684297}">
      <formula1>0</formula1>
      <formula2>17</formula2>
    </dataValidation>
    <dataValidation type="decimal" allowBlank="1" showErrorMessage="1" errorTitle="EX PLUS CONVENIO 2022" error="Entre 0 y 4.000 €_x000a_Recuerda que el punto decimal aquí es una coma." promptTitle="EX PLUS CONVENIO 2022" prompt="Entre 0 y 4.000€_x000a_Recuerda que el punto decimal aquí es una coma._x000a_---_x000a_Si aparece resaltado en naranja es que no tienes seleccionado el concepto pero hay un importe asociado. Modifica el importe a 0, para que no sea tenido en cuenta en los cálculos." sqref="H22" xr:uid="{1CE65154-0056-4A96-BCEB-7C03F033E5F2}">
      <formula1>0</formula1>
      <formula2>4000</formula2>
    </dataValidation>
    <dataValidation type="decimal" allowBlank="1" showErrorMessage="1" errorTitle="EX SALARIO BASE 2022" error="Entre 0 y 4.000 €_x000a_Recuerda que el punto decimal aquí es una coma." promptTitle="EX SALARIO BASE 2022" prompt="Entre 0 y 4.000€_x000a_Recuerda que el punto decimal aquí es una coma._x000a_---_x000a_Si aparece resaltado en naranja es que no tienes seleccionado el concepto pero hay un importe asociado. Modifica el importe a 0, para que no sea tenido en cuenta en los cálculos." sqref="H20" xr:uid="{FF607205-8F58-42FB-BB95-49F4D2443EAD}">
      <formula1>0</formula1>
      <formula2>4000</formula2>
    </dataValidation>
    <dataValidation type="list" showErrorMessage="1" errorTitle="EX PLUS CONVENIO 2022" error="Selecciónalo si lo tienes, si NO lo tienes selecciona la opción en blanco." promptTitle="EX PLUS CONVENIO 2022" prompt="Si tienes este concepto seleccionalo del desplegable._x000a_Si no lo tienes selecciona la opción en blanco._x000a__x000a_Este concepto aparece con la reclasificación profesional del convenio cuando algunas personas acabaron con plus convenio destino inferiores al origen." sqref="D22:F22" xr:uid="{B5F874AC-5F9E-4F8D-9084-2C1DD85A58EE}">
      <formula1>EX_PLUS_CONVENIO_2022</formula1>
    </dataValidation>
    <dataValidation type="list" showErrorMessage="1" errorTitle="EX SALARIO BASE 2022" error="Selecciónalo si lo tienes, si NO lo tienes selecciona la opción en blanco." promptTitle="EX SALARIO BASE 2022" prompt="Si tienes este concepto seleccionalo del desplegable._x000a_Si no lo tienes selecciona la opción en blanco._x000a__x000a_Este concepto aparece con la reclasificación profesional del convenio cuando algunas personas acabaron con salarios base destino inferiores al origen." sqref="D20:F20" xr:uid="{8C69BACF-AFA4-40C0-A63B-EF6501B27AA0}">
      <formula1>EX_SALARIO_BASE_2022</formula1>
    </dataValidation>
    <dataValidation type="decimal" allowBlank="1" showErrorMessage="1" errorTitle="OTROS CONCEPTOS EXTRASALARIALES" error="Puedes introducir la cantidad que quieras entre 0 y 8.000 €._x000a_Recuerda que el punto decimal debe ser una coma." promptTitle="OTROS CONCEPTOS EXTRASALARIALES" prompt="Puedes introducir la cantidad que quieras entre 0 y 8.000€ _x000a_-----_x000a_Si aparece resaltado en naranja es que no tienes seleccionado el concepto pero hay un importe asociado. Modifica el importe a 0, para que no sea tenido en cuenta en los cálculos._x000a__x000a_" sqref="H32" xr:uid="{32916489-37D4-4F9D-99B9-91BCC7F97F91}">
      <formula1>0</formula1>
      <formula2>8000</formula2>
    </dataValidation>
    <dataValidation type="list" showErrorMessage="1" errorTitle="OTROS CONCEPTOS SALARIALES" error="Si no tienes otros conceptos salariales en tu nómina, selecciona la opción en blanco del desplegable." promptTitle="OTROS CONCEPTOS SALARIALES" prompt="Introduce aquí la suma de otros conceptos de tu nómina que sean del tipo:_x000a_ - ayudas (por persona discapacitada, nacimiento...)_x000a_ - guardias / disponibilidades / turnicidad_x000a_  - vehículo empresa_x000a_ - etc_x000a_Si no tienes elije la opción en blanco" sqref="D30:F30" xr:uid="{857CF0A0-06F1-4ED9-8703-9D7BCCE5DE7F}">
      <formula1>Otros_conceptos_PSI</formula1>
    </dataValidation>
    <dataValidation type="list" showErrorMessage="1" errorTitle="COMP. ABSORBE TRIENIO" error="Si no tienes este concepto en tu nómina, selecciona la opción en blanco del desplegable." promptTitle="COMP. ABSORBE TRIENIO" prompt="-----_x000a_Si tienes algún complemento que ÚNICAMENTE PUEDE ABSORBER LA ANTIGÜEDAD generada, pero no puede absorber las subidas salariales, elije esta opción._x000a_-----_x000a_Si no tienes este tipo de complemento elije la opción en blanco." sqref="D26:F26" xr:uid="{30CAAB31-467E-4C16-B157-04AE9A34B75B}">
      <formula1 xml:space="preserve"> Complemento_absorbe_Antig</formula1>
    </dataValidation>
    <dataValidation type="list" showErrorMessage="1" errorTitle="GASTOS TELETRABAJO" error="Si no tienes este concepto en tu nómina, selecciona la opción en blanco del desplegable." promptTitle="GASTOS TELETRABAJO" prompt="-----_x000a_Si teletrabajas todos los días del mes, te corresponden 17€ en 2024, según el convenio sectorial o la parte proporcional si teletrabajas algunos días. Elije la opción de Gastos Teletrabajo._x000a_-----_x000a_Si no teletrabajas elije la opción en blanco." sqref="D29:F29" xr:uid="{749592E5-F51A-4805-9AA2-07603CBAA4C4}">
      <formula1>Gastos_Teletrabajo</formula1>
    </dataValidation>
    <dataValidation type="list" showErrorMessage="1" errorTitle="COMPLEMENTO ABSORBIBLE" error="Selecciona el concepto si lo tienes en la nómina o la opción en blanco si no lo tienes en nómina." promptTitle="COMPLEMENTO ABSORBIBLE" prompt="-----------_x000a_Si NO tienes complemento personal absorbible en tu nómina selecciona la opción en blanco del desplegable._x000a_-----------_x000a_Si tienes un complemento que absorbe todo (antigüedad y subidas salariales) selecciona la opción de complemento absorbible." sqref="D25:F25" xr:uid="{CB9B26B6-FA54-45AF-94AD-D50C3E0A4499}">
      <formula1>Complemento_Absorbible</formula1>
    </dataValidation>
    <dataValidation type="list" showErrorMessage="1" errorTitle="PRORRATA PAGAS EXTRAORDINARIAS" error="Si no tienes este concepto en tu nómina, selecciona la opción en blanco del desplegable." promptTitle="PRORRATA PAGAS EXTRAORDINARIAS" prompt="-------_x000a_Si cobras en 14 pagas, cobras extra en verano y en navidad. En tu nómina no aparece el prorrateo de pagas extras. Selecciona la opción en blanco del desplegable._x000a_-------_x000a_Si cobras en 12 pagas. Selecciona la opción de Prorrata y se autocalculará._x000a__x000a_" sqref="D28:F28" xr:uid="{426423C6-F4BD-45B2-A39A-572F3B6F01FA}">
      <formula1>prorrata</formula1>
    </dataValidation>
    <dataValidation type="list" showErrorMessage="1" errorTitle="CATEGORÍA 2025" error="Debes seleccionar una categoría de la lista desplegable" promptTitle="CATEGORÍA 2025" prompt="Categoría o grupo profesional que tienes reconocido en tu nómina._x000a_Debe ser una del desplegable, que son las que contempla nuestro convenio sectorial en 2025._x000a_" sqref="S14:U14" xr:uid="{28830DEA-CFB6-47D1-89A0-74BE175BB77D}">
      <formula1>categorias2025</formula1>
    </dataValidation>
    <dataValidation type="list" showErrorMessage="1" errorTitle="CATEGORÍA 2024" error="Debes seleccionar una categoría de la lista desplegable" promptTitle="CATEGORÍA 2024" prompt="Categoría o grupo profesional que tienes reconocido en tu nómina._x000a_Debe ser una del desplegable, que son las que contempla nuestro convenio sectorial en 2024." sqref="D14:F14" xr:uid="{1EFB6C9F-BB89-47BB-99E2-89BC74C71085}">
      <formula1>categorias2024</formula1>
    </dataValidation>
    <dataValidation type="date" allowBlank="1" showErrorMessage="1" errorTitle="ANTIGÜEDAD" error="Formato de Fecha_x000a_Debe ser anterior a HOY y posterior al 01/01/1975" promptTitle="ANTIGÜEDAD" prompt="-----_x000a_Formato de Fecha. Debe ser anterior a HOY y posterior al 01/01/1975_x000a_-----_x000a_Fecha de alta en la empresa _x000a_-----_x000a_Fecha a partir de la cual comienzan a calcularse tu antigüedad (tus trienios TIC)" sqref="J12" xr:uid="{454C388F-BF0A-442C-AAE9-D3304330F0E6}">
      <formula1>27395</formula1>
      <formula2>TODAY()</formula2>
    </dataValidation>
    <dataValidation type="decimal" allowBlank="1" showErrorMessage="1" errorTitle="% JORNADA TRABAJADA" error="Valores permitidos entre el 50% y el 100%_x000a_Recuerda que el punto decimal debe ser una coma" promptTitle="% JORNADA TRABAJADA" prompt="Introduce el % de jornada que trabajes, ejemplos:_x000a__x000a_ - 0,5 o 50,00 para 50,00%_x000a_ - 0,8750 o 87,50 para 87,50%_x000a_ - 100 para 100,00%_x000a__x000a_Recuerda que el punto decimal debe ser una coma" sqref="H12" xr:uid="{0E2AD486-007F-4CD4-B518-A177EBB67675}">
      <formula1>0.5</formula1>
      <formula2>1</formula2>
    </dataValidation>
  </dataValidations>
  <hyperlinks>
    <hyperlink ref="D45" r:id="rId1" xr:uid="{E3C8C0E1-7422-4C5E-9F23-685985B0E278}"/>
  </hyperlinks>
  <printOptions horizontalCentered="1" verticalCentered="1"/>
  <pageMargins left="0.23622047244094491" right="0.23622047244094491" top="0.74803149606299213" bottom="0.74803149606299213" header="0.31496062992125984" footer="0.31496062992125984"/>
  <pageSetup paperSize="9" scale="62" fitToHeight="0" orientation="landscape" r:id="rId2"/>
  <rowBreaks count="1" manualBreakCount="1">
    <brk id="46" max="16383" man="1"/>
  </rowBreaks>
  <colBreaks count="1" manualBreakCount="1">
    <brk id="3" max="1048575" man="1"/>
  </colBreaks>
  <ignoredErrors>
    <ignoredError sqref="S25 W38 W12 S14" unlockedFormula="1"/>
    <ignoredError sqref="S56 J64 J23" formula="1"/>
  </ignoredError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184" id="{C0AC0B28-421A-4CDC-B80A-DBA88A15E124}">
            <xm:f>AND(OR(ISBLANK($S$25),$S$25=LISTAS!$F$22),$Y$25&gt;0)</xm:f>
            <x14:dxf>
              <font>
                <color theme="0"/>
              </font>
              <fill>
                <patternFill>
                  <bgColor theme="0"/>
                </patternFill>
              </fill>
            </x14:dxf>
          </x14:cfRule>
          <xm:sqref>Y25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ErrorMessage="1" xr:uid="{198CA97F-B62C-4257-9C4F-3CF5D5C9646A}">
          <x14:formula1>
            <xm:f>LISTAS!$F$14:$F$15</xm:f>
          </x14:formula1>
          <xm:sqref>D31:F31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A56E1-51AF-4E85-AB90-74766A97762D}">
  <sheetPr codeName="Hoja3">
    <pageSetUpPr fitToPage="1"/>
  </sheetPr>
  <dimension ref="A1:T80"/>
  <sheetViews>
    <sheetView showGridLines="0" showRowColHeaders="0" workbookViewId="0">
      <pane xSplit="3" ySplit="25" topLeftCell="D26" activePane="bottomRight" state="frozen"/>
      <selection pane="topRight" activeCell="D1" sqref="D1"/>
      <selection pane="bottomLeft" activeCell="A26" sqref="A26"/>
      <selection pane="bottomRight" activeCell="B37" sqref="B37:C37"/>
    </sheetView>
  </sheetViews>
  <sheetFormatPr baseColWidth="10" defaultRowHeight="14.5"/>
  <cols>
    <col min="1" max="1" width="4.08984375" style="371" customWidth="1"/>
    <col min="2" max="2" width="17.26953125" style="371" customWidth="1"/>
    <col min="3" max="3" width="15.81640625" style="371" customWidth="1"/>
    <col min="4" max="16" width="15.6328125" style="371" customWidth="1"/>
    <col min="17" max="16384" width="10.90625" style="371"/>
  </cols>
  <sheetData>
    <row r="1" spans="1:20" ht="14.5" customHeight="1">
      <c r="A1" s="370"/>
      <c r="B1" s="370"/>
      <c r="C1" s="715"/>
      <c r="D1" s="715"/>
      <c r="E1" s="715"/>
      <c r="F1" s="715"/>
      <c r="G1" s="715"/>
      <c r="H1" s="715"/>
      <c r="K1" s="370"/>
      <c r="N1" s="370"/>
      <c r="O1" s="370"/>
      <c r="P1" s="370"/>
      <c r="T1" s="372"/>
    </row>
    <row r="2" spans="1:20" s="373" customFormat="1" ht="10.5" hidden="1">
      <c r="B2" s="374" t="s">
        <v>493</v>
      </c>
      <c r="C2" s="374"/>
      <c r="D2" s="375">
        <v>1</v>
      </c>
      <c r="E2" s="375">
        <v>2</v>
      </c>
      <c r="F2" s="375">
        <v>3</v>
      </c>
      <c r="G2" s="375">
        <v>4</v>
      </c>
      <c r="H2" s="375">
        <v>5</v>
      </c>
      <c r="I2" s="375">
        <v>6</v>
      </c>
      <c r="J2" s="375">
        <v>7</v>
      </c>
      <c r="K2" s="375">
        <v>8</v>
      </c>
      <c r="L2" s="375">
        <v>9</v>
      </c>
      <c r="M2" s="375">
        <v>10</v>
      </c>
      <c r="N2" s="375">
        <v>11</v>
      </c>
      <c r="O2" s="375">
        <v>12</v>
      </c>
      <c r="P2" s="375">
        <v>13</v>
      </c>
      <c r="S2" s="376"/>
      <c r="T2" s="377"/>
    </row>
    <row r="3" spans="1:20" s="373" customFormat="1" ht="10.5" hidden="1">
      <c r="B3" s="374" t="s">
        <v>505</v>
      </c>
      <c r="C3" s="374"/>
      <c r="D3" s="378">
        <f t="shared" ref="D3:P3" ca="1" si="0">IF(D5&gt;$L$18,1,0)</f>
        <v>1</v>
      </c>
      <c r="E3" s="378">
        <f t="shared" ca="1" si="0"/>
        <v>1</v>
      </c>
      <c r="F3" s="378">
        <f t="shared" ca="1" si="0"/>
        <v>1</v>
      </c>
      <c r="G3" s="378">
        <f t="shared" ca="1" si="0"/>
        <v>1</v>
      </c>
      <c r="H3" s="378">
        <f t="shared" ca="1" si="0"/>
        <v>1</v>
      </c>
      <c r="I3" s="378">
        <f t="shared" ca="1" si="0"/>
        <v>1</v>
      </c>
      <c r="J3" s="378">
        <f t="shared" ca="1" si="0"/>
        <v>1</v>
      </c>
      <c r="K3" s="378">
        <f t="shared" ca="1" si="0"/>
        <v>1</v>
      </c>
      <c r="L3" s="378">
        <f t="shared" ca="1" si="0"/>
        <v>1</v>
      </c>
      <c r="M3" s="378">
        <f t="shared" ca="1" si="0"/>
        <v>1</v>
      </c>
      <c r="N3" s="378">
        <f t="shared" ca="1" si="0"/>
        <v>1</v>
      </c>
      <c r="O3" s="378">
        <f t="shared" ca="1" si="0"/>
        <v>1</v>
      </c>
      <c r="P3" s="378">
        <f t="shared" ca="1" si="0"/>
        <v>0</v>
      </c>
      <c r="S3" s="376"/>
      <c r="T3" s="377"/>
    </row>
    <row r="4" spans="1:20" s="373" customFormat="1" ht="10.5" hidden="1">
      <c r="B4" s="379" t="s">
        <v>502</v>
      </c>
      <c r="C4" s="380"/>
      <c r="D4" s="381">
        <f ca="1">DATE(D8,D7,1)</f>
        <v>45748</v>
      </c>
      <c r="E4" s="381">
        <f t="shared" ref="E4:P4" ca="1" si="1">DATE(E8,E7,1)</f>
        <v>45717</v>
      </c>
      <c r="F4" s="381">
        <f t="shared" ca="1" si="1"/>
        <v>45689</v>
      </c>
      <c r="G4" s="381">
        <f t="shared" ca="1" si="1"/>
        <v>45658</v>
      </c>
      <c r="H4" s="381">
        <f t="shared" ca="1" si="1"/>
        <v>45627</v>
      </c>
      <c r="I4" s="381">
        <f t="shared" ca="1" si="1"/>
        <v>45597</v>
      </c>
      <c r="J4" s="381">
        <f t="shared" ca="1" si="1"/>
        <v>45566</v>
      </c>
      <c r="K4" s="381">
        <f t="shared" ca="1" si="1"/>
        <v>45536</v>
      </c>
      <c r="L4" s="381">
        <f t="shared" ca="1" si="1"/>
        <v>45505</v>
      </c>
      <c r="M4" s="381">
        <f t="shared" ca="1" si="1"/>
        <v>45474</v>
      </c>
      <c r="N4" s="381">
        <f t="shared" ca="1" si="1"/>
        <v>45444</v>
      </c>
      <c r="O4" s="381">
        <f t="shared" ca="1" si="1"/>
        <v>45413</v>
      </c>
      <c r="P4" s="382">
        <f t="shared" ca="1" si="1"/>
        <v>45383</v>
      </c>
      <c r="S4" s="376"/>
      <c r="T4" s="377"/>
    </row>
    <row r="5" spans="1:20" s="373" customFormat="1" ht="10.5" hidden="1">
      <c r="B5" s="383" t="s">
        <v>503</v>
      </c>
      <c r="C5" s="374"/>
      <c r="D5" s="384">
        <f ca="1">EOMONTH(DATE(D8,D7,1),0)</f>
        <v>45777</v>
      </c>
      <c r="E5" s="384">
        <f t="shared" ref="E5:P5" ca="1" si="2">EOMONTH(DATE(E8,E7,1),0)</f>
        <v>45747</v>
      </c>
      <c r="F5" s="384">
        <f t="shared" ca="1" si="2"/>
        <v>45716</v>
      </c>
      <c r="G5" s="384">
        <f t="shared" ca="1" si="2"/>
        <v>45688</v>
      </c>
      <c r="H5" s="384">
        <f t="shared" ca="1" si="2"/>
        <v>45657</v>
      </c>
      <c r="I5" s="384">
        <f t="shared" ca="1" si="2"/>
        <v>45626</v>
      </c>
      <c r="J5" s="384">
        <f t="shared" ca="1" si="2"/>
        <v>45596</v>
      </c>
      <c r="K5" s="384">
        <f t="shared" ca="1" si="2"/>
        <v>45565</v>
      </c>
      <c r="L5" s="384">
        <f t="shared" ca="1" si="2"/>
        <v>45535</v>
      </c>
      <c r="M5" s="384">
        <f t="shared" ca="1" si="2"/>
        <v>45504</v>
      </c>
      <c r="N5" s="384">
        <f t="shared" ca="1" si="2"/>
        <v>45473</v>
      </c>
      <c r="O5" s="384">
        <f t="shared" ca="1" si="2"/>
        <v>45443</v>
      </c>
      <c r="P5" s="385">
        <f t="shared" ca="1" si="2"/>
        <v>45412</v>
      </c>
      <c r="S5" s="376"/>
      <c r="T5" s="377"/>
    </row>
    <row r="6" spans="1:20" s="373" customFormat="1" ht="10.5" hidden="1">
      <c r="B6" s="386" t="s">
        <v>504</v>
      </c>
      <c r="C6" s="387"/>
      <c r="D6" s="388">
        <f ca="1">(D5-D4)+1</f>
        <v>30</v>
      </c>
      <c r="E6" s="388">
        <f t="shared" ref="E6:P6" ca="1" si="3">(E5-E4)+1</f>
        <v>31</v>
      </c>
      <c r="F6" s="388">
        <f t="shared" ca="1" si="3"/>
        <v>28</v>
      </c>
      <c r="G6" s="388">
        <f t="shared" ca="1" si="3"/>
        <v>31</v>
      </c>
      <c r="H6" s="388">
        <f t="shared" ca="1" si="3"/>
        <v>31</v>
      </c>
      <c r="I6" s="388">
        <f t="shared" ca="1" si="3"/>
        <v>30</v>
      </c>
      <c r="J6" s="388">
        <f t="shared" ca="1" si="3"/>
        <v>31</v>
      </c>
      <c r="K6" s="388">
        <f t="shared" ca="1" si="3"/>
        <v>30</v>
      </c>
      <c r="L6" s="388">
        <f t="shared" ca="1" si="3"/>
        <v>31</v>
      </c>
      <c r="M6" s="388">
        <f t="shared" ca="1" si="3"/>
        <v>31</v>
      </c>
      <c r="N6" s="388">
        <f t="shared" ca="1" si="3"/>
        <v>30</v>
      </c>
      <c r="O6" s="388">
        <f t="shared" ca="1" si="3"/>
        <v>31</v>
      </c>
      <c r="P6" s="389">
        <f t="shared" ca="1" si="3"/>
        <v>30</v>
      </c>
      <c r="S6" s="376"/>
      <c r="T6" s="377"/>
    </row>
    <row r="7" spans="1:20" s="373" customFormat="1" ht="10.5" hidden="1">
      <c r="B7" s="374" t="s">
        <v>491</v>
      </c>
      <c r="C7" s="374"/>
      <c r="D7" s="390">
        <f ca="1">MONTH(F18)</f>
        <v>4</v>
      </c>
      <c r="E7" s="390">
        <f ca="1">IF(D7-1=0,12,D7-1)</f>
        <v>3</v>
      </c>
      <c r="F7" s="390">
        <f t="shared" ref="F7:P7" ca="1" si="4">IF(E7-1=0,12,E7-1)</f>
        <v>2</v>
      </c>
      <c r="G7" s="390">
        <f t="shared" ca="1" si="4"/>
        <v>1</v>
      </c>
      <c r="H7" s="390">
        <f t="shared" ca="1" si="4"/>
        <v>12</v>
      </c>
      <c r="I7" s="390">
        <f t="shared" ca="1" si="4"/>
        <v>11</v>
      </c>
      <c r="J7" s="390">
        <f t="shared" ca="1" si="4"/>
        <v>10</v>
      </c>
      <c r="K7" s="390">
        <f t="shared" ca="1" si="4"/>
        <v>9</v>
      </c>
      <c r="L7" s="390">
        <f t="shared" ca="1" si="4"/>
        <v>8</v>
      </c>
      <c r="M7" s="390">
        <f t="shared" ca="1" si="4"/>
        <v>7</v>
      </c>
      <c r="N7" s="390">
        <f t="shared" ca="1" si="4"/>
        <v>6</v>
      </c>
      <c r="O7" s="390">
        <f t="shared" ca="1" si="4"/>
        <v>5</v>
      </c>
      <c r="P7" s="390">
        <f t="shared" ca="1" si="4"/>
        <v>4</v>
      </c>
      <c r="T7" s="377"/>
    </row>
    <row r="8" spans="1:20" s="373" customFormat="1" ht="10.5" hidden="1">
      <c r="B8" s="374" t="s">
        <v>492</v>
      </c>
      <c r="C8" s="374"/>
      <c r="D8" s="378">
        <f ca="1">YEAR(F18)</f>
        <v>2025</v>
      </c>
      <c r="E8" s="378">
        <f ca="1">IF(E7&gt;D7,D8-1,D8)</f>
        <v>2025</v>
      </c>
      <c r="F8" s="378">
        <f t="shared" ref="F8:P8" ca="1" si="5">IF(F7&gt;E7,E8-1,E8)</f>
        <v>2025</v>
      </c>
      <c r="G8" s="378">
        <f t="shared" ca="1" si="5"/>
        <v>2025</v>
      </c>
      <c r="H8" s="378">
        <f t="shared" ca="1" si="5"/>
        <v>2024</v>
      </c>
      <c r="I8" s="378">
        <f t="shared" ca="1" si="5"/>
        <v>2024</v>
      </c>
      <c r="J8" s="378">
        <f t="shared" ca="1" si="5"/>
        <v>2024</v>
      </c>
      <c r="K8" s="378">
        <f t="shared" ca="1" si="5"/>
        <v>2024</v>
      </c>
      <c r="L8" s="378">
        <f t="shared" ca="1" si="5"/>
        <v>2024</v>
      </c>
      <c r="M8" s="378">
        <f t="shared" ca="1" si="5"/>
        <v>2024</v>
      </c>
      <c r="N8" s="378">
        <f t="shared" ca="1" si="5"/>
        <v>2024</v>
      </c>
      <c r="O8" s="378">
        <f t="shared" ca="1" si="5"/>
        <v>2024</v>
      </c>
      <c r="P8" s="378">
        <f t="shared" ca="1" si="5"/>
        <v>2024</v>
      </c>
      <c r="T8" s="377"/>
    </row>
    <row r="9" spans="1:20" s="373" customFormat="1" ht="10.5" hidden="1">
      <c r="B9" s="374" t="s">
        <v>439</v>
      </c>
      <c r="C9" s="374"/>
      <c r="D9" s="391">
        <f t="shared" ref="D9:P9" ca="1" si="6">D8-YEAR($L$20)</f>
        <v>2</v>
      </c>
      <c r="E9" s="391">
        <f t="shared" ca="1" si="6"/>
        <v>2</v>
      </c>
      <c r="F9" s="391">
        <f t="shared" ca="1" si="6"/>
        <v>2</v>
      </c>
      <c r="G9" s="391">
        <f t="shared" ca="1" si="6"/>
        <v>2</v>
      </c>
      <c r="H9" s="391">
        <f t="shared" ca="1" si="6"/>
        <v>1</v>
      </c>
      <c r="I9" s="391">
        <f t="shared" ca="1" si="6"/>
        <v>1</v>
      </c>
      <c r="J9" s="391">
        <f t="shared" ca="1" si="6"/>
        <v>1</v>
      </c>
      <c r="K9" s="391">
        <f t="shared" ca="1" si="6"/>
        <v>1</v>
      </c>
      <c r="L9" s="391">
        <f t="shared" ca="1" si="6"/>
        <v>1</v>
      </c>
      <c r="M9" s="391">
        <f t="shared" ca="1" si="6"/>
        <v>1</v>
      </c>
      <c r="N9" s="391">
        <f t="shared" ca="1" si="6"/>
        <v>1</v>
      </c>
      <c r="O9" s="391">
        <f t="shared" ca="1" si="6"/>
        <v>1</v>
      </c>
      <c r="P9" s="391">
        <f t="shared" ca="1" si="6"/>
        <v>1</v>
      </c>
      <c r="T9" s="377"/>
    </row>
    <row r="10" spans="1:20" s="373" customFormat="1" ht="10.5" hidden="1">
      <c r="B10" s="374" t="s">
        <v>500</v>
      </c>
      <c r="C10" s="374"/>
      <c r="D10" s="390">
        <f ca="1">IF(D9&lt;3,0,IF(AND(D9&gt;2,D9&lt;6),1,IF(AND(D9&gt;5,D9&lt;9),2,IF(AND(D9&gt;8,D9&lt;12),3,IF(AND(D9&gt;11,D9&lt;15),4,IF(AND(D9&gt;14,D9&lt;18),5,IF(AND(D9&gt;17,D9&lt;21),6,IF(AND(D9&gt;20,D9&lt;24),7,IF(AND(D9&gt;23,D9&lt;27),8,9)))))))))</f>
        <v>0</v>
      </c>
      <c r="E10" s="390">
        <f t="shared" ref="E10:P10" ca="1" si="7">IF(E9&lt;3,0,IF(AND(E9&gt;2,E9&lt;6),1,IF(AND(E9&gt;5,E9&lt;9),2,IF(AND(E9&gt;8,E9&lt;12),3,IF(AND(E9&gt;11,E9&lt;15),4,IF(AND(E9&gt;14,E9&lt;18),5,IF(AND(E9&gt;17,E9&lt;21),6,IF(AND(E9&gt;20,E9&lt;24),7,IF(AND(E9&gt;23,E9&lt;27),8,9)))))))))</f>
        <v>0</v>
      </c>
      <c r="F10" s="390">
        <f t="shared" ca="1" si="7"/>
        <v>0</v>
      </c>
      <c r="G10" s="390">
        <f t="shared" ca="1" si="7"/>
        <v>0</v>
      </c>
      <c r="H10" s="390">
        <f t="shared" ca="1" si="7"/>
        <v>0</v>
      </c>
      <c r="I10" s="390">
        <f t="shared" ca="1" si="7"/>
        <v>0</v>
      </c>
      <c r="J10" s="390">
        <f t="shared" ca="1" si="7"/>
        <v>0</v>
      </c>
      <c r="K10" s="390">
        <f t="shared" ca="1" si="7"/>
        <v>0</v>
      </c>
      <c r="L10" s="390">
        <f t="shared" ca="1" si="7"/>
        <v>0</v>
      </c>
      <c r="M10" s="390">
        <f t="shared" ca="1" si="7"/>
        <v>0</v>
      </c>
      <c r="N10" s="390">
        <f t="shared" ca="1" si="7"/>
        <v>0</v>
      </c>
      <c r="O10" s="390">
        <f t="shared" ca="1" si="7"/>
        <v>0</v>
      </c>
      <c r="P10" s="390">
        <f t="shared" ca="1" si="7"/>
        <v>0</v>
      </c>
      <c r="T10" s="377"/>
    </row>
    <row r="11" spans="1:20" s="373" customFormat="1" ht="10.5" hidden="1">
      <c r="B11" s="379" t="s">
        <v>511</v>
      </c>
      <c r="C11" s="380"/>
      <c r="D11" s="392">
        <f t="shared" ref="D11:O11" ca="1" si="8">(D30-E30)+(D31-E31)+(D32-E32)+(D33-E33)+(D34-E34)+(D38-E38)</f>
        <v>0</v>
      </c>
      <c r="E11" s="392">
        <f t="shared" ca="1" si="8"/>
        <v>0</v>
      </c>
      <c r="F11" s="392">
        <f t="shared" ca="1" si="8"/>
        <v>0</v>
      </c>
      <c r="G11" s="392">
        <f t="shared" ca="1" si="8"/>
        <v>88.74069563888041</v>
      </c>
      <c r="H11" s="392">
        <f t="shared" ca="1" si="8"/>
        <v>0</v>
      </c>
      <c r="I11" s="392">
        <f t="shared" ca="1" si="8"/>
        <v>0</v>
      </c>
      <c r="J11" s="392">
        <f t="shared" ca="1" si="8"/>
        <v>0</v>
      </c>
      <c r="K11" s="392">
        <f t="shared" ca="1" si="8"/>
        <v>0</v>
      </c>
      <c r="L11" s="392">
        <f t="shared" ca="1" si="8"/>
        <v>0</v>
      </c>
      <c r="M11" s="392">
        <f t="shared" ca="1" si="8"/>
        <v>0</v>
      </c>
      <c r="N11" s="392">
        <f t="shared" ca="1" si="8"/>
        <v>0</v>
      </c>
      <c r="O11" s="392">
        <f t="shared" ca="1" si="8"/>
        <v>2218.5242857142857</v>
      </c>
      <c r="P11" s="393"/>
      <c r="T11" s="377"/>
    </row>
    <row r="12" spans="1:20" s="373" customFormat="1" ht="10.5" hidden="1">
      <c r="B12" s="383" t="s">
        <v>510</v>
      </c>
      <c r="C12" s="374"/>
      <c r="D12" s="394">
        <f t="shared" ref="D12:N12" ca="1" si="9">(D24-E24)*(D30+D31)</f>
        <v>0</v>
      </c>
      <c r="E12" s="394">
        <f t="shared" ca="1" si="9"/>
        <v>0</v>
      </c>
      <c r="F12" s="394">
        <f t="shared" ca="1" si="9"/>
        <v>0</v>
      </c>
      <c r="G12" s="394">
        <f t="shared" ca="1" si="9"/>
        <v>0</v>
      </c>
      <c r="H12" s="394">
        <f t="shared" ca="1" si="9"/>
        <v>0</v>
      </c>
      <c r="I12" s="394">
        <f t="shared" ca="1" si="9"/>
        <v>0</v>
      </c>
      <c r="J12" s="394">
        <f t="shared" ca="1" si="9"/>
        <v>0</v>
      </c>
      <c r="K12" s="394">
        <f t="shared" ca="1" si="9"/>
        <v>0</v>
      </c>
      <c r="L12" s="394">
        <f t="shared" ca="1" si="9"/>
        <v>0</v>
      </c>
      <c r="M12" s="394">
        <f t="shared" ca="1" si="9"/>
        <v>0</v>
      </c>
      <c r="N12" s="394">
        <f t="shared" ca="1" si="9"/>
        <v>0</v>
      </c>
      <c r="O12" s="394">
        <f ca="1">(O24-P24)*(O30+O31)</f>
        <v>0</v>
      </c>
      <c r="P12" s="395"/>
      <c r="T12" s="377"/>
    </row>
    <row r="13" spans="1:20" s="373" customFormat="1" ht="10.5" hidden="1">
      <c r="B13" s="386" t="s">
        <v>512</v>
      </c>
      <c r="C13" s="387"/>
      <c r="D13" s="396">
        <f t="shared" ref="D13:N13" ca="1" si="10">D11-D12</f>
        <v>0</v>
      </c>
      <c r="E13" s="396">
        <f t="shared" ca="1" si="10"/>
        <v>0</v>
      </c>
      <c r="F13" s="396">
        <f t="shared" ca="1" si="10"/>
        <v>0</v>
      </c>
      <c r="G13" s="396">
        <f t="shared" ca="1" si="10"/>
        <v>88.74069563888041</v>
      </c>
      <c r="H13" s="396">
        <f t="shared" ca="1" si="10"/>
        <v>0</v>
      </c>
      <c r="I13" s="396">
        <f t="shared" ca="1" si="10"/>
        <v>0</v>
      </c>
      <c r="J13" s="396">
        <f t="shared" ca="1" si="10"/>
        <v>0</v>
      </c>
      <c r="K13" s="396">
        <f t="shared" ca="1" si="10"/>
        <v>0</v>
      </c>
      <c r="L13" s="396">
        <f t="shared" ca="1" si="10"/>
        <v>0</v>
      </c>
      <c r="M13" s="396">
        <f t="shared" ca="1" si="10"/>
        <v>0</v>
      </c>
      <c r="N13" s="396">
        <f t="shared" ca="1" si="10"/>
        <v>0</v>
      </c>
      <c r="O13" s="396">
        <f ca="1">O11-O12</f>
        <v>2218.5242857142857</v>
      </c>
      <c r="P13" s="397"/>
      <c r="T13" s="377"/>
    </row>
    <row r="14" spans="1:20" s="373" customFormat="1" ht="10.5" hidden="1">
      <c r="B14" s="374" t="s">
        <v>513</v>
      </c>
      <c r="C14" s="374"/>
      <c r="D14" s="398">
        <f ca="1">(D49-E49)+(D50-E50)+(D51-E51)+(D52-E52)+(D53-E53)+(D57-E57)</f>
        <v>0</v>
      </c>
      <c r="E14" s="398">
        <f t="shared" ref="E14:O14" ca="1" si="11">(E49-F49)+(E50-F50)+(E51-F51)+(E52-F52)+(E53-F53)+(E57-F57)</f>
        <v>0</v>
      </c>
      <c r="F14" s="398">
        <f t="shared" ca="1" si="11"/>
        <v>0</v>
      </c>
      <c r="G14" s="398">
        <f t="shared" ca="1" si="11"/>
        <v>88.74069563888041</v>
      </c>
      <c r="H14" s="398">
        <f t="shared" ca="1" si="11"/>
        <v>0</v>
      </c>
      <c r="I14" s="398">
        <f t="shared" ca="1" si="11"/>
        <v>0</v>
      </c>
      <c r="J14" s="398">
        <f t="shared" ca="1" si="11"/>
        <v>0</v>
      </c>
      <c r="K14" s="398">
        <f t="shared" ca="1" si="11"/>
        <v>0</v>
      </c>
      <c r="L14" s="398">
        <f t="shared" ca="1" si="11"/>
        <v>0</v>
      </c>
      <c r="M14" s="398">
        <f t="shared" ca="1" si="11"/>
        <v>0</v>
      </c>
      <c r="N14" s="398">
        <f t="shared" ca="1" si="11"/>
        <v>0</v>
      </c>
      <c r="O14" s="398">
        <f t="shared" ca="1" si="11"/>
        <v>2218.5242857142857</v>
      </c>
      <c r="P14" s="390"/>
      <c r="T14" s="377"/>
    </row>
    <row r="15" spans="1:20" s="373" customFormat="1" ht="10.5" hidden="1">
      <c r="B15" s="374" t="s">
        <v>514</v>
      </c>
      <c r="C15" s="374"/>
      <c r="D15" s="398">
        <f t="shared" ref="D15:O15" ca="1" si="12">(D24-E24)*(D49+D50)</f>
        <v>0</v>
      </c>
      <c r="E15" s="398">
        <f t="shared" ca="1" si="12"/>
        <v>0</v>
      </c>
      <c r="F15" s="398">
        <f t="shared" ca="1" si="12"/>
        <v>0</v>
      </c>
      <c r="G15" s="398">
        <f t="shared" ca="1" si="12"/>
        <v>0</v>
      </c>
      <c r="H15" s="398">
        <f t="shared" ca="1" si="12"/>
        <v>0</v>
      </c>
      <c r="I15" s="398">
        <f t="shared" ca="1" si="12"/>
        <v>0</v>
      </c>
      <c r="J15" s="398">
        <f t="shared" ca="1" si="12"/>
        <v>0</v>
      </c>
      <c r="K15" s="398">
        <f t="shared" ca="1" si="12"/>
        <v>0</v>
      </c>
      <c r="L15" s="398">
        <f t="shared" ca="1" si="12"/>
        <v>0</v>
      </c>
      <c r="M15" s="398">
        <f t="shared" ca="1" si="12"/>
        <v>0</v>
      </c>
      <c r="N15" s="398">
        <f t="shared" ca="1" si="12"/>
        <v>0</v>
      </c>
      <c r="O15" s="398">
        <f t="shared" ca="1" si="12"/>
        <v>0</v>
      </c>
      <c r="P15" s="390"/>
      <c r="T15" s="377"/>
    </row>
    <row r="16" spans="1:20" s="373" customFormat="1" ht="10.5" hidden="1">
      <c r="B16" s="374" t="s">
        <v>515</v>
      </c>
      <c r="C16" s="374"/>
      <c r="D16" s="398">
        <f ca="1">D14-D15</f>
        <v>0</v>
      </c>
      <c r="E16" s="398">
        <f t="shared" ref="E16:O16" ca="1" si="13">E14-E15</f>
        <v>0</v>
      </c>
      <c r="F16" s="398">
        <f t="shared" ca="1" si="13"/>
        <v>0</v>
      </c>
      <c r="G16" s="398">
        <f t="shared" ca="1" si="13"/>
        <v>88.74069563888041</v>
      </c>
      <c r="H16" s="398">
        <f t="shared" ca="1" si="13"/>
        <v>0</v>
      </c>
      <c r="I16" s="398">
        <f t="shared" ca="1" si="13"/>
        <v>0</v>
      </c>
      <c r="J16" s="398">
        <f t="shared" ca="1" si="13"/>
        <v>0</v>
      </c>
      <c r="K16" s="398">
        <f t="shared" ca="1" si="13"/>
        <v>0</v>
      </c>
      <c r="L16" s="398">
        <f t="shared" ca="1" si="13"/>
        <v>0</v>
      </c>
      <c r="M16" s="398">
        <f t="shared" ca="1" si="13"/>
        <v>0</v>
      </c>
      <c r="N16" s="398">
        <f t="shared" ca="1" si="13"/>
        <v>0</v>
      </c>
      <c r="O16" s="398">
        <f t="shared" ca="1" si="13"/>
        <v>2218.5242857142857</v>
      </c>
      <c r="P16" s="390"/>
      <c r="T16" s="377"/>
    </row>
    <row r="17" spans="1:20" ht="37.5" customHeight="1" thickBot="1">
      <c r="B17" s="399"/>
      <c r="D17" s="714" t="s">
        <v>509</v>
      </c>
      <c r="E17" s="714"/>
      <c r="F17" s="714"/>
      <c r="G17" s="714"/>
      <c r="H17" s="400"/>
      <c r="I17" s="400"/>
      <c r="J17" s="400"/>
      <c r="K17" s="400"/>
      <c r="L17" s="400"/>
      <c r="M17" s="400"/>
      <c r="N17" s="401"/>
      <c r="O17" s="401"/>
      <c r="P17" s="401"/>
      <c r="T17" s="372"/>
    </row>
    <row r="18" spans="1:20" ht="15" customHeight="1" thickTop="1" thickBot="1">
      <c r="B18" s="402"/>
      <c r="D18" s="370"/>
      <c r="E18" s="402" t="s">
        <v>536</v>
      </c>
      <c r="F18" s="356">
        <f ca="1">TODAY()</f>
        <v>45776</v>
      </c>
      <c r="H18" s="402" t="s">
        <v>535</v>
      </c>
      <c r="I18" s="357">
        <v>12</v>
      </c>
      <c r="K18" s="402" t="s">
        <v>540</v>
      </c>
      <c r="L18" s="542">
        <f ca="1">EDATE(F18,-I18)+1</f>
        <v>45412</v>
      </c>
      <c r="O18" s="403"/>
      <c r="P18" s="403"/>
      <c r="T18" s="372"/>
    </row>
    <row r="19" spans="1:20" ht="25" customHeight="1" thickTop="1">
      <c r="B19" s="402"/>
      <c r="D19" s="541" t="str">
        <f ca="1">CONCATENATE("Introduce los datos de tu nómina de ",UPPER(PROPER(TEXT(L18,"mmmm")))," del ", YEAR(L18))</f>
        <v>Introduce los datos de tu nómina de ABRIL del 2024</v>
      </c>
      <c r="E19" s="404"/>
      <c r="F19" s="405"/>
      <c r="G19" s="406"/>
      <c r="H19" s="407"/>
      <c r="I19" s="404"/>
      <c r="J19" s="406"/>
      <c r="K19" s="408"/>
      <c r="L19" s="409"/>
      <c r="M19" s="410"/>
      <c r="O19" s="403"/>
      <c r="P19" s="403"/>
      <c r="T19" s="372"/>
    </row>
    <row r="20" spans="1:20" ht="15" customHeight="1">
      <c r="B20" s="402"/>
      <c r="D20" s="411"/>
      <c r="E20" s="402" t="s">
        <v>344</v>
      </c>
      <c r="F20" s="453" t="str">
        <f>'2024_2025'!G14</f>
        <v>4.A.1</v>
      </c>
      <c r="G20" s="412"/>
      <c r="H20" s="402" t="s">
        <v>501</v>
      </c>
      <c r="I20" s="455">
        <f>'2024_2025'!H12</f>
        <v>1</v>
      </c>
      <c r="K20" s="402" t="s">
        <v>20</v>
      </c>
      <c r="L20" s="359">
        <f>'2024_2025'!J12</f>
        <v>44986</v>
      </c>
      <c r="O20" s="403"/>
      <c r="P20" s="403"/>
      <c r="T20" s="372"/>
    </row>
    <row r="21" spans="1:20" ht="15" customHeight="1">
      <c r="B21" s="402"/>
      <c r="C21" s="413" t="str">
        <f>'2024_2025'!N2</f>
        <v>Versión 1.5</v>
      </c>
      <c r="D21" s="370"/>
      <c r="E21" s="402" t="s">
        <v>428</v>
      </c>
      <c r="F21" s="454">
        <f>'2024_2025'!I20</f>
        <v>100</v>
      </c>
      <c r="G21" s="414"/>
      <c r="H21" s="402" t="s">
        <v>23</v>
      </c>
      <c r="I21" s="358">
        <f>'2024_2025'!I25</f>
        <v>0</v>
      </c>
      <c r="J21" s="414"/>
      <c r="K21" s="402" t="s">
        <v>22</v>
      </c>
      <c r="L21" s="454">
        <f>'2024_2025'!I29</f>
        <v>0</v>
      </c>
      <c r="M21" s="415"/>
      <c r="N21" s="403"/>
      <c r="O21" s="403"/>
      <c r="P21" s="403"/>
      <c r="T21" s="372"/>
    </row>
    <row r="22" spans="1:20" ht="15.5" customHeight="1">
      <c r="B22" s="402"/>
      <c r="C22" s="416"/>
      <c r="D22" s="370"/>
      <c r="E22" s="402" t="s">
        <v>483</v>
      </c>
      <c r="F22" s="454">
        <f>'2024_2025'!I22</f>
        <v>50</v>
      </c>
      <c r="G22" s="370"/>
      <c r="H22" s="402" t="s">
        <v>526</v>
      </c>
      <c r="I22" s="358">
        <f>'2024_2025'!I26</f>
        <v>0</v>
      </c>
      <c r="J22" s="370"/>
      <c r="K22" s="402" t="s">
        <v>534</v>
      </c>
      <c r="L22" s="454">
        <f>'2024_2025'!I30+'2024_2025'!I31</f>
        <v>0</v>
      </c>
      <c r="N22" s="403"/>
      <c r="O22" s="403"/>
      <c r="P22" s="403"/>
      <c r="T22" s="372"/>
    </row>
    <row r="23" spans="1:20" ht="5" customHeight="1">
      <c r="B23" s="402"/>
      <c r="D23" s="417"/>
      <c r="E23" s="417"/>
      <c r="F23" s="417"/>
      <c r="G23" s="417"/>
      <c r="H23" s="417"/>
      <c r="I23" s="417"/>
      <c r="J23" s="417"/>
      <c r="K23" s="417"/>
      <c r="L23" s="417"/>
      <c r="M23" s="417"/>
      <c r="N23" s="403"/>
      <c r="O23" s="403"/>
      <c r="P23" s="403"/>
      <c r="T23" s="372"/>
    </row>
    <row r="24" spans="1:20" ht="15" customHeight="1">
      <c r="B24" s="370"/>
      <c r="C24" s="402" t="s">
        <v>438</v>
      </c>
      <c r="D24" s="418">
        <f t="shared" ref="D24:P24" ca="1" si="14">IF(D10=0,0,IF(D10=1,0.05,IF(D10=2,0.1,IF(D10=3,0.15,IF(D10=4,0.2,IF(D10=5,0.25,IF(D10=6,0.35,IF(D10=7,0.45,IF(D10=8,0.55,0.6)))))))))</f>
        <v>0</v>
      </c>
      <c r="E24" s="418">
        <f t="shared" ca="1" si="14"/>
        <v>0</v>
      </c>
      <c r="F24" s="418">
        <f t="shared" ca="1" si="14"/>
        <v>0</v>
      </c>
      <c r="G24" s="418">
        <f t="shared" ca="1" si="14"/>
        <v>0</v>
      </c>
      <c r="H24" s="418">
        <f t="shared" ca="1" si="14"/>
        <v>0</v>
      </c>
      <c r="I24" s="418">
        <f t="shared" ca="1" si="14"/>
        <v>0</v>
      </c>
      <c r="J24" s="418">
        <f t="shared" ca="1" si="14"/>
        <v>0</v>
      </c>
      <c r="K24" s="418">
        <f t="shared" ca="1" si="14"/>
        <v>0</v>
      </c>
      <c r="L24" s="418">
        <f t="shared" ca="1" si="14"/>
        <v>0</v>
      </c>
      <c r="M24" s="419">
        <f t="shared" ca="1" si="14"/>
        <v>0</v>
      </c>
      <c r="N24" s="419">
        <f t="shared" ca="1" si="14"/>
        <v>0</v>
      </c>
      <c r="O24" s="419">
        <f t="shared" ca="1" si="14"/>
        <v>0</v>
      </c>
      <c r="P24" s="419">
        <f t="shared" ca="1" si="14"/>
        <v>0</v>
      </c>
      <c r="T24" s="372"/>
    </row>
    <row r="25" spans="1:20" ht="15" customHeight="1">
      <c r="A25" s="420" t="s">
        <v>149</v>
      </c>
      <c r="B25" s="721" t="s">
        <v>501</v>
      </c>
      <c r="C25" s="722"/>
      <c r="D25" s="348">
        <f>'2024_2025'!W12</f>
        <v>1</v>
      </c>
      <c r="E25" s="348">
        <f t="shared" ref="E25:P25" ca="1" si="15">D25*E3</f>
        <v>1</v>
      </c>
      <c r="F25" s="348">
        <f t="shared" ca="1" si="15"/>
        <v>1</v>
      </c>
      <c r="G25" s="348">
        <f t="shared" ca="1" si="15"/>
        <v>1</v>
      </c>
      <c r="H25" s="348">
        <f t="shared" ca="1" si="15"/>
        <v>1</v>
      </c>
      <c r="I25" s="348">
        <f t="shared" ca="1" si="15"/>
        <v>1</v>
      </c>
      <c r="J25" s="348">
        <f t="shared" ca="1" si="15"/>
        <v>1</v>
      </c>
      <c r="K25" s="348">
        <f t="shared" ca="1" si="15"/>
        <v>1</v>
      </c>
      <c r="L25" s="348">
        <f t="shared" ca="1" si="15"/>
        <v>1</v>
      </c>
      <c r="M25" s="348">
        <f t="shared" ca="1" si="15"/>
        <v>1</v>
      </c>
      <c r="N25" s="348">
        <f t="shared" ca="1" si="15"/>
        <v>1</v>
      </c>
      <c r="O25" s="348">
        <f t="shared" ca="1" si="15"/>
        <v>1</v>
      </c>
      <c r="P25" s="348">
        <f t="shared" ca="1" si="15"/>
        <v>0</v>
      </c>
      <c r="T25" s="372"/>
    </row>
    <row r="26" spans="1:20" ht="15" customHeight="1">
      <c r="B26" s="725" t="s">
        <v>494</v>
      </c>
      <c r="C26" s="716" t="str">
        <f ca="1">CONCATENATE(D27*D3+E27*E3+F27*F3+G27*G3+H27*H3+I27*I3+J27*J3+K27*K3+L27*L3+M27*M3+N27*N3+O27*O3+P27*P3, " días")</f>
        <v>364 días</v>
      </c>
      <c r="D26" s="421" t="str">
        <f t="shared" ref="D26:P26" ca="1" si="16">CONCATENATE(IF(D7=1,"Enero",IF(D7=2,"Febrero",IF(D7=3,"Marzo",IF(D7=4,"Abril",IF(D7=5,"Mayo",IF(D7=6,"Junio",IF(D7=7,"Julio",IF(D7=8,"Agosto",IF(D7=9,"Septiembre",IF(D7=10,"Octubre",IF(D7=11,"Noviembre",IF(D7=12,"Diciembre","ERROR"))))))))))))," ",D8)</f>
        <v>Abril 2025</v>
      </c>
      <c r="E26" s="421" t="str">
        <f t="shared" ca="1" si="16"/>
        <v>Marzo 2025</v>
      </c>
      <c r="F26" s="421" t="str">
        <f t="shared" ca="1" si="16"/>
        <v>Febrero 2025</v>
      </c>
      <c r="G26" s="421" t="str">
        <f t="shared" ca="1" si="16"/>
        <v>Enero 2025</v>
      </c>
      <c r="H26" s="421" t="str">
        <f t="shared" ca="1" si="16"/>
        <v>Diciembre 2024</v>
      </c>
      <c r="I26" s="421" t="str">
        <f t="shared" ca="1" si="16"/>
        <v>Noviembre 2024</v>
      </c>
      <c r="J26" s="421" t="str">
        <f t="shared" ca="1" si="16"/>
        <v>Octubre 2024</v>
      </c>
      <c r="K26" s="421" t="str">
        <f t="shared" ca="1" si="16"/>
        <v>Septiembre 2024</v>
      </c>
      <c r="L26" s="421" t="str">
        <f t="shared" ca="1" si="16"/>
        <v>Agosto 2024</v>
      </c>
      <c r="M26" s="421" t="str">
        <f t="shared" ca="1" si="16"/>
        <v>Julio 2024</v>
      </c>
      <c r="N26" s="421" t="str">
        <f t="shared" ca="1" si="16"/>
        <v>Junio 2024</v>
      </c>
      <c r="O26" s="421" t="str">
        <f t="shared" ca="1" si="16"/>
        <v>Mayo 2024</v>
      </c>
      <c r="P26" s="421" t="str">
        <f t="shared" ca="1" si="16"/>
        <v>Abril 2024</v>
      </c>
      <c r="T26" s="372"/>
    </row>
    <row r="27" spans="1:20" ht="15" customHeight="1">
      <c r="B27" s="726"/>
      <c r="C27" s="716"/>
      <c r="D27" s="422">
        <f ca="1">DAY(F18)</f>
        <v>29</v>
      </c>
      <c r="E27" s="422">
        <f t="shared" ref="E27:P27" ca="1" si="17">IF(DATE(E8,E7,1)=DATE(YEAR($L$18),MONTH($L$18),1),E5-$L$18+1,E6)</f>
        <v>31</v>
      </c>
      <c r="F27" s="422">
        <f t="shared" ca="1" si="17"/>
        <v>28</v>
      </c>
      <c r="G27" s="422">
        <f t="shared" ca="1" si="17"/>
        <v>31</v>
      </c>
      <c r="H27" s="422">
        <f t="shared" ca="1" si="17"/>
        <v>31</v>
      </c>
      <c r="I27" s="422">
        <f t="shared" ca="1" si="17"/>
        <v>30</v>
      </c>
      <c r="J27" s="422">
        <f t="shared" ca="1" si="17"/>
        <v>31</v>
      </c>
      <c r="K27" s="422">
        <f t="shared" ca="1" si="17"/>
        <v>30</v>
      </c>
      <c r="L27" s="422">
        <f t="shared" ca="1" si="17"/>
        <v>31</v>
      </c>
      <c r="M27" s="422">
        <f t="shared" ca="1" si="17"/>
        <v>31</v>
      </c>
      <c r="N27" s="422">
        <f t="shared" ca="1" si="17"/>
        <v>30</v>
      </c>
      <c r="O27" s="422">
        <f t="shared" ca="1" si="17"/>
        <v>31</v>
      </c>
      <c r="P27" s="422">
        <f t="shared" ca="1" si="17"/>
        <v>1</v>
      </c>
      <c r="Q27" s="423"/>
      <c r="T27" s="372"/>
    </row>
    <row r="28" spans="1:20">
      <c r="A28" s="420" t="s">
        <v>149</v>
      </c>
      <c r="B28" s="710" t="s">
        <v>344</v>
      </c>
      <c r="C28" s="711"/>
      <c r="D28" s="294" t="str">
        <f>$F$20</f>
        <v>4.A.1</v>
      </c>
      <c r="E28" s="294" t="str">
        <f>D28</f>
        <v>4.A.1</v>
      </c>
      <c r="F28" s="294" t="str">
        <f t="shared" ref="F28:P28" si="18">E28</f>
        <v>4.A.1</v>
      </c>
      <c r="G28" s="294" t="str">
        <f t="shared" si="18"/>
        <v>4.A.1</v>
      </c>
      <c r="H28" s="294" t="str">
        <f t="shared" si="18"/>
        <v>4.A.1</v>
      </c>
      <c r="I28" s="294" t="str">
        <f t="shared" si="18"/>
        <v>4.A.1</v>
      </c>
      <c r="J28" s="294" t="str">
        <f t="shared" si="18"/>
        <v>4.A.1</v>
      </c>
      <c r="K28" s="294" t="str">
        <f t="shared" si="18"/>
        <v>4.A.1</v>
      </c>
      <c r="L28" s="294" t="str">
        <f t="shared" si="18"/>
        <v>4.A.1</v>
      </c>
      <c r="M28" s="294" t="str">
        <f t="shared" si="18"/>
        <v>4.A.1</v>
      </c>
      <c r="N28" s="294" t="str">
        <f t="shared" si="18"/>
        <v>4.A.1</v>
      </c>
      <c r="O28" s="294" t="str">
        <f t="shared" si="18"/>
        <v>4.A.1</v>
      </c>
      <c r="P28" s="294" t="str">
        <f t="shared" si="18"/>
        <v>4.A.1</v>
      </c>
      <c r="T28" s="372"/>
    </row>
    <row r="29" spans="1:20" ht="15" thickBot="1">
      <c r="A29" s="420" t="s">
        <v>149</v>
      </c>
      <c r="B29" s="723" t="s">
        <v>490</v>
      </c>
      <c r="C29" s="724"/>
      <c r="D29" s="295" t="str">
        <f t="shared" ref="D29:P29" ca="1" si="19">CONCATENATE("Tablas ",D8)</f>
        <v>Tablas 2025</v>
      </c>
      <c r="E29" s="295" t="str">
        <f t="shared" ca="1" si="19"/>
        <v>Tablas 2025</v>
      </c>
      <c r="F29" s="295" t="str">
        <f t="shared" ca="1" si="19"/>
        <v>Tablas 2025</v>
      </c>
      <c r="G29" s="295" t="str">
        <f t="shared" ca="1" si="19"/>
        <v>Tablas 2025</v>
      </c>
      <c r="H29" s="295" t="str">
        <f t="shared" ca="1" si="19"/>
        <v>Tablas 2024</v>
      </c>
      <c r="I29" s="295" t="str">
        <f t="shared" ca="1" si="19"/>
        <v>Tablas 2024</v>
      </c>
      <c r="J29" s="295" t="str">
        <f t="shared" ca="1" si="19"/>
        <v>Tablas 2024</v>
      </c>
      <c r="K29" s="295" t="str">
        <f t="shared" ca="1" si="19"/>
        <v>Tablas 2024</v>
      </c>
      <c r="L29" s="295" t="str">
        <f t="shared" ca="1" si="19"/>
        <v>Tablas 2024</v>
      </c>
      <c r="M29" s="295" t="str">
        <f t="shared" ca="1" si="19"/>
        <v>Tablas 2024</v>
      </c>
      <c r="N29" s="295" t="str">
        <f t="shared" ca="1" si="19"/>
        <v>Tablas 2024</v>
      </c>
      <c r="O29" s="295" t="str">
        <f t="shared" ca="1" si="19"/>
        <v>Tablas 2024</v>
      </c>
      <c r="P29" s="295" t="str">
        <f t="shared" ca="1" si="19"/>
        <v>Tablas 2024</v>
      </c>
      <c r="T29" s="372"/>
    </row>
    <row r="30" spans="1:20" ht="14" customHeight="1">
      <c r="A30" s="420" t="s">
        <v>149</v>
      </c>
      <c r="B30" s="708" t="s">
        <v>18</v>
      </c>
      <c r="C30" s="709"/>
      <c r="D30" s="424">
        <f ca="1">(VLOOKUP(D28,TABLAS!$D$3:$P$60,IF(D8=2024,2,IF(D8=2025,IF(D29="Tablas 2024",2,IF(D29="Tablas 2025",5,5)),IF(D8=2026,8,IF(D8=2027,11,11)))),FALSE)/14)*D25*D3</f>
        <v>1975.4692857142857</v>
      </c>
      <c r="E30" s="424">
        <f ca="1">(VLOOKUP(E28,TABLAS!$D$3:$P$60,IF(E8=2024,2,IF(E8=2025,IF(E29="Tablas 2024",2,IF(E29="Tablas 2025",5,5)),IF(E8=2026,8,IF(E8=2027,11,11)))),FALSE)/14)*E25*E3</f>
        <v>1975.4692857142857</v>
      </c>
      <c r="F30" s="424">
        <f ca="1">(VLOOKUP(F28,TABLAS!$D$3:$P$60,IF(F8=2024,2,IF(F8=2025,IF(F29="Tablas 2024",2,IF(F29="Tablas 2025",5,5)),IF(F8=2026,8,IF(F8=2027,11,11)))),FALSE)/14)*F25*F3</f>
        <v>1975.4692857142857</v>
      </c>
      <c r="G30" s="424">
        <f ca="1">(VLOOKUP(G28,TABLAS!$D$3:$P$60,IF(G8=2024,2,IF(G8=2025,IF(G29="Tablas 2024",2,IF(G29="Tablas 2025",5,5)),IF(G8=2026,8,IF(G8=2027,11,11)))),FALSE)/14)*G25*G3</f>
        <v>1975.4692857142857</v>
      </c>
      <c r="H30" s="424">
        <f ca="1">(VLOOKUP(H28,TABLAS!$D$3:$P$60,IF(H8=2024,2,IF(H8=2025,IF(H29="Tablas 2024",2,IF(H29="Tablas 2025",5,5)),IF(H8=2026,8,IF(H8=2027,11,11)))),FALSE)/14)*H25*H3</f>
        <v>1899.49</v>
      </c>
      <c r="I30" s="424">
        <f ca="1">(VLOOKUP(I28,TABLAS!$D$3:$P$60,IF(I8=2024,2,IF(I8=2025,IF(I29="Tablas 2024",2,IF(I29="Tablas 2025",5,5)),IF(I8=2026,8,IF(I8=2027,11,11)))),FALSE)/14)*I25*I3</f>
        <v>1899.49</v>
      </c>
      <c r="J30" s="424">
        <f ca="1">(VLOOKUP(J28,TABLAS!$D$3:$P$60,IF(J8=2024,2,IF(J8=2025,IF(J29="Tablas 2024",2,IF(J29="Tablas 2025",5,5)),IF(J8=2026,8,IF(J8=2027,11,11)))),FALSE)/14)*J25*J3</f>
        <v>1899.49</v>
      </c>
      <c r="K30" s="424">
        <f ca="1">(VLOOKUP(K28,TABLAS!$D$3:$P$60,IF(K8=2024,2,IF(K8=2025,IF(K29="Tablas 2024",2,IF(K29="Tablas 2025",5,5)),IF(K8=2026,8,IF(K8=2027,11,11)))),FALSE)/14)*K25*K3</f>
        <v>1899.49</v>
      </c>
      <c r="L30" s="424">
        <f ca="1">(VLOOKUP(L28,TABLAS!$D$3:$P$60,IF(L8=2024,2,IF(L8=2025,IF(L29="Tablas 2024",2,IF(L29="Tablas 2025",5,5)),IF(L8=2026,8,IF(L8=2027,11,11)))),FALSE)/14)*L25*L3</f>
        <v>1899.49</v>
      </c>
      <c r="M30" s="424">
        <f ca="1">(VLOOKUP(M28,TABLAS!$D$3:$P$60,IF(M8=2024,2,IF(M8=2025,IF(M29="Tablas 2024",2,IF(M29="Tablas 2025",5,5)),IF(M8=2026,8,IF(M8=2027,11,11)))),FALSE)/14)*M25*M3</f>
        <v>1899.49</v>
      </c>
      <c r="N30" s="424">
        <f ca="1">(VLOOKUP(N28,TABLAS!$D$3:$P$60,IF(N8=2024,2,IF(N8=2025,IF(N29="Tablas 2024",2,IF(N29="Tablas 2025",5,5)),IF(N8=2026,8,IF(N8=2027,11,11)))),FALSE)/14)*N25*N3</f>
        <v>1899.49</v>
      </c>
      <c r="O30" s="424">
        <f ca="1">(VLOOKUP(O28,TABLAS!$D$3:$P$60,IF(O8=2024,2,IF(O8=2025,IF(O29="Tablas 2024",2,IF(O29="Tablas 2025",5,5)),IF(O8=2026,8,IF(O8=2027,11,11)))),FALSE)/14)*O25*O3</f>
        <v>1899.49</v>
      </c>
      <c r="P30" s="424">
        <f ca="1">(VLOOKUP(P28,TABLAS!$D$3:$P$60,IF(P8=2024,2,IF(P8=2025,IF(P29="Tablas 2024",2,IF(P29="Tablas 2025",5,5)),IF(P8=2026,8,IF(P8=2027,11,11)))),FALSE)/14)*P25*P3</f>
        <v>0</v>
      </c>
      <c r="T30" s="372"/>
    </row>
    <row r="31" spans="1:20" ht="14" customHeight="1">
      <c r="A31" s="420" t="s">
        <v>149</v>
      </c>
      <c r="B31" s="719" t="s">
        <v>147</v>
      </c>
      <c r="C31" s="720"/>
      <c r="D31" s="425">
        <f ca="1">IF(ISBLANK($B$31),0,IF(YEAR($L$18)=D8,$F$21*D$3,IF(YEAR($L$18)&lt;D8,IF(D8=2025,$F$21*(1+VLOOKUP(D$28,TABLAS!$D$3:$R$60,15,FALSE))*D$3,IF(D8&gt;2025,$F$21*1.03*D$3)))))</f>
        <v>103.99998756877747</v>
      </c>
      <c r="E31" s="425">
        <f ca="1">IF(ISBLANK($B$31),0,IF(YEAR($L$18)=E8,$F$21*E$3,IF(YEAR($L$18)&lt;E8,IF(E8=2025,$F$21*(1+VLOOKUP(E$28,TABLAS!$D$3:$R$60,15,FALSE))*E$3,IF(E8&gt;2025,$F$21*1.03*E$3)))))</f>
        <v>103.99998756877747</v>
      </c>
      <c r="F31" s="425">
        <f ca="1">IF(ISBLANK($B$31),0,IF(YEAR($L$18)=F8,$F$21*F$3,IF(YEAR($L$18)&lt;F8,IF(F8=2025,$F$21*(1+VLOOKUP(F$28,TABLAS!$D$3:$R$60,15,FALSE))*F$3,IF(F8&gt;2025,$F$21*1.03*F$3)))))</f>
        <v>103.99998756877747</v>
      </c>
      <c r="G31" s="425">
        <f ca="1">IF(ISBLANK($B$31),0,IF(YEAR($L$18)=G8,$F$21*G$3,IF(YEAR($L$18)&lt;G8,IF(G8=2025,$F$21*(1+VLOOKUP(G$28,TABLAS!$D$3:$R$60,15,FALSE))*G$3,IF(G8&gt;2025,$F$21*1.03*G$3)))))</f>
        <v>103.99998756877747</v>
      </c>
      <c r="H31" s="425">
        <f ca="1">IF(ISBLANK($B$31),0,IF(YEAR($L$18)=H8,$F$21*H$3,IF(YEAR($L$18)&lt;H8,IF(H8=2025,$F$21*(1+VLOOKUP(H$28,TABLAS!$D$3:$R$60,15,FALSE))*H$3,IF(H8&gt;2025,$F$21*1.03*H$3)))))</f>
        <v>100</v>
      </c>
      <c r="I31" s="425">
        <f ca="1">IF(ISBLANK($B$31),0,IF(YEAR($L$18)=I8,$F$21*I$3,IF(YEAR($L$18)&lt;I8,IF(I8=2025,$F$21*(1+VLOOKUP(I$28,TABLAS!$D$3:$R$60,15,FALSE))*I$3,IF(I8&gt;2025,$F$21*1.03*I$3)))))</f>
        <v>100</v>
      </c>
      <c r="J31" s="425">
        <f ca="1">IF(ISBLANK($B$31),0,IF(YEAR($L$18)=J8,$F$21*J$3,IF(YEAR($L$18)&lt;J8,IF(J8=2025,$F$21*(1+VLOOKUP(J$28,TABLAS!$D$3:$R$60,15,FALSE))*J$3,IF(J8&gt;2025,$F$21*1.03*J$3)))))</f>
        <v>100</v>
      </c>
      <c r="K31" s="425">
        <f ca="1">IF(ISBLANK($B$31),0,IF(YEAR($L$18)=K8,$F$21*K$3,IF(YEAR($L$18)&lt;K8,IF(K8=2025,$F$21*(1+VLOOKUP(K$28,TABLAS!$D$3:$R$60,15,FALSE))*K$3,IF(K8&gt;2025,$F$21*1.03*K$3)))))</f>
        <v>100</v>
      </c>
      <c r="L31" s="425">
        <f ca="1">IF(ISBLANK($B$31),0,IF(YEAR($L$18)=L8,$F$21*L$3,IF(YEAR($L$18)&lt;L8,IF(L8=2025,$F$21*(1+VLOOKUP(L$28,TABLAS!$D$3:$R$60,15,FALSE))*L$3,IF(L8&gt;2025,$F$21*1.03*L$3)))))</f>
        <v>100</v>
      </c>
      <c r="M31" s="425">
        <f ca="1">IF(ISBLANK($B$31),0,IF(YEAR($L$18)=M8,$F$21*M$3,IF(YEAR($L$18)&lt;M8,IF(M8=2025,$F$21*(1+VLOOKUP(M$28,TABLAS!$D$3:$R$60,15,FALSE))*M$3,IF(M8&gt;2025,$F$21*1.03*M$3)))))</f>
        <v>100</v>
      </c>
      <c r="N31" s="425">
        <f ca="1">IF(ISBLANK($B$31),0,IF(YEAR($L$18)=N8,$F$21*N$3,IF(YEAR($L$18)&lt;N8,IF(N8=2025,$F$21*(1+VLOOKUP(N$28,TABLAS!$D$3:$R$60,15,FALSE))*N$3,IF(N8&gt;2025,$F$21*1.03*N$3)))))</f>
        <v>100</v>
      </c>
      <c r="O31" s="425">
        <f ca="1">IF(ISBLANK($B$31),0,IF(YEAR($L$18)=O8,$F$21*O$3,IF(YEAR($L$18)&lt;O8,IF(O8=2025,$F$21*(1+VLOOKUP(O$28,TABLAS!$D$3:$R$60,15,FALSE))*O$3,IF(O8&gt;2025,$F$21*1.03*O$3)))))</f>
        <v>100</v>
      </c>
      <c r="P31" s="425">
        <f ca="1">IF(ISBLANK($B$31),0,IF(YEAR($L$18)=P8,$F$21*P$3,IF(YEAR($L$18)&lt;P8,IF(P8=2025,$F$21*(1+VLOOKUP(P$28,TABLAS!$D$3:$R$60,15,FALSE))*P$3,IF(P8&gt;2025,$F$21*1.03*P$3)))))</f>
        <v>0</v>
      </c>
      <c r="T31" s="372"/>
    </row>
    <row r="32" spans="1:20" ht="14" customHeight="1">
      <c r="A32" s="420" t="s">
        <v>149</v>
      </c>
      <c r="B32" s="708" t="s">
        <v>19</v>
      </c>
      <c r="C32" s="709"/>
      <c r="D32" s="425">
        <f ca="1">(VLOOKUP(D28,TABLAS!$D$3:$P$60,IF(D8=2024,3,IF(D8=2025,IF(D29="Tablas 2024",3,IF(D29="Tablas 2025",6,6)),IF(D8=2026,9,IF(D8=2027,12,12)))),FALSE)/14)*D25*D3</f>
        <v>175.79571428571427</v>
      </c>
      <c r="E32" s="425">
        <f ca="1">(VLOOKUP(E28,TABLAS!$D$3:$P$60,IF(E8=2024,3,IF(E8=2025,IF(E29="Tablas 2024",3,IF(E29="Tablas 2025",6,6)),IF(E8=2026,9,IF(E8=2027,12,12)))),FALSE)/14)*E25*E3</f>
        <v>175.79571428571427</v>
      </c>
      <c r="F32" s="425">
        <f ca="1">(VLOOKUP(F28,TABLAS!$D$3:$P$60,IF(F8=2024,3,IF(F8=2025,IF(F29="Tablas 2024",3,IF(F29="Tablas 2025",6,6)),IF(F8=2026,9,IF(F8=2027,12,12)))),FALSE)/14)*F25*F3</f>
        <v>175.79571428571427</v>
      </c>
      <c r="G32" s="425">
        <f ca="1">(VLOOKUP(G28,TABLAS!$D$3:$P$60,IF(G8=2024,3,IF(G8=2025,IF(G29="Tablas 2024",3,IF(G29="Tablas 2025",6,6)),IF(G8=2026,9,IF(G8=2027,12,12)))),FALSE)/14)*G25*G3</f>
        <v>175.79571428571427</v>
      </c>
      <c r="H32" s="425">
        <f ca="1">(VLOOKUP(H28,TABLAS!$D$3:$P$60,IF(H8=2024,3,IF(H8=2025,IF(H29="Tablas 2024",3,IF(H29="Tablas 2025",6,6)),IF(H8=2026,9,IF(H8=2027,12,12)))),FALSE)/14)*H25*H3</f>
        <v>169.03428571428572</v>
      </c>
      <c r="I32" s="425">
        <f ca="1">(VLOOKUP(I28,TABLAS!$D$3:$P$60,IF(I8=2024,3,IF(I8=2025,IF(I29="Tablas 2024",3,IF(I29="Tablas 2025",6,6)),IF(I8=2026,9,IF(I8=2027,12,12)))),FALSE)/14)*I25*I3</f>
        <v>169.03428571428572</v>
      </c>
      <c r="J32" s="425">
        <f ca="1">(VLOOKUP(J28,TABLAS!$D$3:$P$60,IF(J8=2024,3,IF(J8=2025,IF(J29="Tablas 2024",3,IF(J29="Tablas 2025",6,6)),IF(J8=2026,9,IF(J8=2027,12,12)))),FALSE)/14)*J25*J3</f>
        <v>169.03428571428572</v>
      </c>
      <c r="K32" s="425">
        <f ca="1">(VLOOKUP(K28,TABLAS!$D$3:$P$60,IF(K8=2024,3,IF(K8=2025,IF(K29="Tablas 2024",3,IF(K29="Tablas 2025",6,6)),IF(K8=2026,9,IF(K8=2027,12,12)))),FALSE)/14)*K25*K3</f>
        <v>169.03428571428572</v>
      </c>
      <c r="L32" s="425">
        <f ca="1">(VLOOKUP(L28,TABLAS!$D$3:$P$60,IF(L8=2024,3,IF(L8=2025,IF(L29="Tablas 2024",3,IF(L29="Tablas 2025",6,6)),IF(L8=2026,9,IF(L8=2027,12,12)))),FALSE)/14)*L25*L3</f>
        <v>169.03428571428572</v>
      </c>
      <c r="M32" s="425">
        <f ca="1">(VLOOKUP(M28,TABLAS!$D$3:$P$60,IF(M8=2024,3,IF(M8=2025,IF(M29="Tablas 2024",3,IF(M29="Tablas 2025",6,6)),IF(M8=2026,9,IF(M8=2027,12,12)))),FALSE)/14)*M25*M3</f>
        <v>169.03428571428572</v>
      </c>
      <c r="N32" s="425">
        <f ca="1">(VLOOKUP(N28,TABLAS!$D$3:$P$60,IF(N8=2024,3,IF(N8=2025,IF(N29="Tablas 2024",3,IF(N29="Tablas 2025",6,6)),IF(N8=2026,9,IF(N8=2027,12,12)))),FALSE)/14)*N25*N3</f>
        <v>169.03428571428572</v>
      </c>
      <c r="O32" s="425">
        <f ca="1">(VLOOKUP(O28,TABLAS!$D$3:$P$60,IF(O8=2024,3,IF(O8=2025,IF(O29="Tablas 2024",3,IF(O29="Tablas 2025",6,6)),IF(O8=2026,9,IF(O8=2027,12,12)))),FALSE)/14)*O25*O3</f>
        <v>169.03428571428572</v>
      </c>
      <c r="P32" s="425">
        <f ca="1">(VLOOKUP(P28,TABLAS!$D$3:$P$60,IF(P8=2024,3,IF(P8=2025,IF(P29="Tablas 2024",3,IF(P29="Tablas 2025",6,6)),IF(P8=2026,9,IF(P8=2027,12,12)))),FALSE)/14)*P25*P3</f>
        <v>0</v>
      </c>
      <c r="T32" s="372"/>
    </row>
    <row r="33" spans="1:20" ht="14" customHeight="1">
      <c r="A33" s="420" t="s">
        <v>149</v>
      </c>
      <c r="B33" s="719" t="s">
        <v>148</v>
      </c>
      <c r="C33" s="720"/>
      <c r="D33" s="425">
        <f ca="1">IF(ISBLANK($B$33),0,IF(YEAR($L$18)=D8,$F$22*D$3,IF(YEAR($L$18)&lt;D8,IF(D8=2025,$F$22*(1+VLOOKUP(D$28,TABLAS!$D$3:$R$60,15,FALSE))*D$3,IF(D8&gt;2025,$F$22*1.03*D$3)))))</f>
        <v>51.999993784388735</v>
      </c>
      <c r="E33" s="425">
        <f ca="1">IF(ISBLANK($B$33),0,IF(YEAR($L$18)=E8,$F$22*E$3,IF(YEAR($L$18)&lt;E8,IF(E8=2025,$F$22*(1+VLOOKUP(E$28,TABLAS!$D$3:$R$60,15,FALSE))*E$3,IF(E8&gt;2025,$F$22*1.03*E$3)))))</f>
        <v>51.999993784388735</v>
      </c>
      <c r="F33" s="425">
        <f ca="1">IF(ISBLANK($B$33),0,IF(YEAR($L$18)=F8,$F$22*F$3,IF(YEAR($L$18)&lt;F8,IF(F8=2025,$F$22*(1+VLOOKUP(F$28,TABLAS!$D$3:$R$60,15,FALSE))*F$3,IF(F8&gt;2025,$F$22*1.03*F$3)))))</f>
        <v>51.999993784388735</v>
      </c>
      <c r="G33" s="425">
        <f ca="1">IF(ISBLANK($B$33),0,IF(YEAR($L$18)=G8,$F$22*G$3,IF(YEAR($L$18)&lt;G8,IF(G8=2025,$F$22*(1+VLOOKUP(G$28,TABLAS!$D$3:$R$60,15,FALSE))*G$3,IF(G8&gt;2025,$F$22*1.03*G$3)))))</f>
        <v>51.999993784388735</v>
      </c>
      <c r="H33" s="425">
        <f ca="1">IF(ISBLANK($B$33),0,IF(YEAR($L$18)=H8,$F$22*H$3,IF(YEAR($L$18)&lt;H8,IF(H8=2025,$F$22*(1+VLOOKUP(H$28,TABLAS!$D$3:$R$60,15,FALSE))*H$3,IF(H8&gt;2025,$F$22*1.03*H$3)))))</f>
        <v>50</v>
      </c>
      <c r="I33" s="425">
        <f ca="1">IF(ISBLANK($B$33),0,IF(YEAR($L$18)=I8,$F$22*I$3,IF(YEAR($L$18)&lt;I8,IF(I8=2025,$F$22*(1+VLOOKUP(I$28,TABLAS!$D$3:$R$60,15,FALSE))*I$3,IF(I8&gt;2025,$F$22*1.03*I$3)))))</f>
        <v>50</v>
      </c>
      <c r="J33" s="425">
        <f ca="1">IF(ISBLANK($B$33),0,IF(YEAR($L$18)=J8,$F$22*J$3,IF(YEAR($L$18)&lt;J8,IF(J8=2025,$F$22*(1+VLOOKUP(J$28,TABLAS!$D$3:$R$60,15,FALSE))*J$3,IF(J8&gt;2025,$F$22*1.03*J$3)))))</f>
        <v>50</v>
      </c>
      <c r="K33" s="425">
        <f ca="1">IF(ISBLANK($B$33),0,IF(YEAR($L$18)=K8,$F$22*K$3,IF(YEAR($L$18)&lt;K8,IF(K8=2025,$F$22*(1+VLOOKUP(K$28,TABLAS!$D$3:$R$60,15,FALSE))*K$3,IF(K8&gt;2025,$F$22*1.03*K$3)))))</f>
        <v>50</v>
      </c>
      <c r="L33" s="425">
        <f ca="1">IF(ISBLANK($B$33),0,IF(YEAR($L$18)=L8,$F$22*L$3,IF(YEAR($L$18)&lt;L8,IF(L8=2025,$F$22*(1+VLOOKUP(L$28,TABLAS!$D$3:$R$60,15,FALSE))*L$3,IF(L8&gt;2025,$F$22*1.03*L$3)))))</f>
        <v>50</v>
      </c>
      <c r="M33" s="425">
        <f ca="1">IF(ISBLANK($B$33),0,IF(YEAR($L$18)=M8,$F$22*M$3,IF(YEAR($L$18)&lt;M8,IF(M8=2025,$F$22*(1+VLOOKUP(M$28,TABLAS!$D$3:$R$60,15,FALSE))*M$3,IF(M8&gt;2025,$F$22*1.03*M$3)))))</f>
        <v>50</v>
      </c>
      <c r="N33" s="425">
        <f ca="1">IF(ISBLANK($B$33),0,IF(YEAR($L$18)=N8,$F$22*N$3,IF(YEAR($L$18)&lt;N8,IF(N8=2025,$F$22*(1+VLOOKUP(N$28,TABLAS!$D$3:$R$60,15,FALSE))*N$3,IF(N8&gt;2025,$F$22*1.03*N$3)))))</f>
        <v>50</v>
      </c>
      <c r="O33" s="425">
        <f ca="1">IF(ISBLANK($B$33),0,IF(YEAR($L$18)=O8,$F$22*O$3,IF(YEAR($L$18)&lt;O8,IF(O8=2025,$F$22*(1+VLOOKUP(O$28,TABLAS!$D$3:$R$60,15,FALSE))*O$3,IF(O8&gt;2025,$F$22*1.03*O$3)))))</f>
        <v>50</v>
      </c>
      <c r="P33" s="425">
        <f ca="1">IF(ISBLANK($B$33),0,IF(YEAR($L$18)=P8,$F$22*P$3,IF(YEAR($L$18)&lt;P8,IF(P8=2025,$F$22*(1+VLOOKUP(P$28,TABLAS!$D$3:$R$60,15,FALSE))*P$3,IF(P8&gt;2025,$F$22*1.03*P$3)))))</f>
        <v>0</v>
      </c>
      <c r="T33" s="372"/>
    </row>
    <row r="34" spans="1:20" ht="14" customHeight="1">
      <c r="A34" s="420" t="s">
        <v>149</v>
      </c>
      <c r="B34" s="708" t="s">
        <v>20</v>
      </c>
      <c r="C34" s="709"/>
      <c r="D34" s="425">
        <f t="shared" ref="D34:P34" ca="1" si="20">((D30+D31)*D24)*D3</f>
        <v>0</v>
      </c>
      <c r="E34" s="425">
        <f t="shared" ca="1" si="20"/>
        <v>0</v>
      </c>
      <c r="F34" s="425">
        <f t="shared" ca="1" si="20"/>
        <v>0</v>
      </c>
      <c r="G34" s="425">
        <f t="shared" ca="1" si="20"/>
        <v>0</v>
      </c>
      <c r="H34" s="425">
        <f t="shared" ca="1" si="20"/>
        <v>0</v>
      </c>
      <c r="I34" s="425">
        <f t="shared" ca="1" si="20"/>
        <v>0</v>
      </c>
      <c r="J34" s="425">
        <f t="shared" ca="1" si="20"/>
        <v>0</v>
      </c>
      <c r="K34" s="425">
        <f t="shared" ca="1" si="20"/>
        <v>0</v>
      </c>
      <c r="L34" s="425">
        <f t="shared" ca="1" si="20"/>
        <v>0</v>
      </c>
      <c r="M34" s="425">
        <f t="shared" ca="1" si="20"/>
        <v>0</v>
      </c>
      <c r="N34" s="425">
        <f t="shared" ca="1" si="20"/>
        <v>0</v>
      </c>
      <c r="O34" s="425">
        <f t="shared" ca="1" si="20"/>
        <v>0</v>
      </c>
      <c r="P34" s="425">
        <f t="shared" ca="1" si="20"/>
        <v>0</v>
      </c>
      <c r="T34" s="372"/>
    </row>
    <row r="35" spans="1:20" ht="14" customHeight="1">
      <c r="A35" s="420" t="s">
        <v>149</v>
      </c>
      <c r="B35" s="719" t="s">
        <v>23</v>
      </c>
      <c r="C35" s="720"/>
      <c r="D35" s="426">
        <f t="shared" ref="D35:O35" ca="1" si="21">IF(ISBLANK($B$35),0,(IF(AND(YEAR($L$18)=D8,MONTH($L$18)=D7),$I$21,IF(E35&gt;0,IF(E35-D11&gt;0,E35-D11,0),0)))*D3)</f>
        <v>0</v>
      </c>
      <c r="E35" s="426">
        <f t="shared" ca="1" si="21"/>
        <v>0</v>
      </c>
      <c r="F35" s="426">
        <f t="shared" ca="1" si="21"/>
        <v>0</v>
      </c>
      <c r="G35" s="426">
        <f t="shared" ca="1" si="21"/>
        <v>0</v>
      </c>
      <c r="H35" s="426">
        <f t="shared" ca="1" si="21"/>
        <v>0</v>
      </c>
      <c r="I35" s="426">
        <f t="shared" ca="1" si="21"/>
        <v>0</v>
      </c>
      <c r="J35" s="426">
        <f t="shared" ca="1" si="21"/>
        <v>0</v>
      </c>
      <c r="K35" s="426">
        <f t="shared" ca="1" si="21"/>
        <v>0</v>
      </c>
      <c r="L35" s="426">
        <f t="shared" ca="1" si="21"/>
        <v>0</v>
      </c>
      <c r="M35" s="426">
        <f t="shared" ca="1" si="21"/>
        <v>0</v>
      </c>
      <c r="N35" s="426">
        <f t="shared" ca="1" si="21"/>
        <v>0</v>
      </c>
      <c r="O35" s="426">
        <f t="shared" ca="1" si="21"/>
        <v>0</v>
      </c>
      <c r="P35" s="426">
        <f ca="1">(IF(ISBLANK($B$35),0,IF(AND(YEAR($L$18)=P8,MONTH($L$18)=P7),$I$21,0)))*P3</f>
        <v>0</v>
      </c>
      <c r="T35" s="372"/>
    </row>
    <row r="36" spans="1:20" ht="14" customHeight="1">
      <c r="A36" s="420" t="s">
        <v>149</v>
      </c>
      <c r="B36" s="719" t="s">
        <v>506</v>
      </c>
      <c r="C36" s="720"/>
      <c r="D36" s="426">
        <f t="shared" ref="D36:O36" ca="1" si="22">IF(ISBLANK($B$36),0,(IF(AND(YEAR($L$18)=D8,MONTH($L$18)=D7),$I$22,IF(E36&gt;0,IF(E24=D24,E36,IF(E35&gt;=D11,E36,IF(E35&lt;=D13,IF(E36-D12&lt;0,0,IF(E36-D12&lt;0,0,E36-D12)),IF(E36-(D12-(E35-D13))&lt;0,0,E36-(D12-(E35-D13)))))),0)))*D3)</f>
        <v>0</v>
      </c>
      <c r="E36" s="426">
        <f t="shared" ca="1" si="22"/>
        <v>0</v>
      </c>
      <c r="F36" s="426">
        <f t="shared" ca="1" si="22"/>
        <v>0</v>
      </c>
      <c r="G36" s="426">
        <f t="shared" ca="1" si="22"/>
        <v>0</v>
      </c>
      <c r="H36" s="426">
        <f t="shared" ca="1" si="22"/>
        <v>0</v>
      </c>
      <c r="I36" s="426">
        <f t="shared" ca="1" si="22"/>
        <v>0</v>
      </c>
      <c r="J36" s="426">
        <f t="shared" ca="1" si="22"/>
        <v>0</v>
      </c>
      <c r="K36" s="426">
        <f t="shared" ca="1" si="22"/>
        <v>0</v>
      </c>
      <c r="L36" s="426">
        <f t="shared" ca="1" si="22"/>
        <v>0</v>
      </c>
      <c r="M36" s="426">
        <f t="shared" ca="1" si="22"/>
        <v>0</v>
      </c>
      <c r="N36" s="426">
        <f t="shared" ca="1" si="22"/>
        <v>0</v>
      </c>
      <c r="O36" s="426">
        <f t="shared" ca="1" si="22"/>
        <v>0</v>
      </c>
      <c r="P36" s="426">
        <f ca="1">(IF(ISBLANK($B$36),0,IF(AND(YEAR($L$18)=P8,MONTH($L$18)=P7),$I$22,0)))*P3</f>
        <v>0</v>
      </c>
    </row>
    <row r="37" spans="1:20" ht="14" customHeight="1">
      <c r="A37" s="420" t="s">
        <v>149</v>
      </c>
      <c r="B37" s="719"/>
      <c r="C37" s="720"/>
      <c r="D37" s="425">
        <f t="shared" ref="D37:P37" ca="1" si="23">((SUM(D30:D36)*2)/12)*D3</f>
        <v>384.54416355886104</v>
      </c>
      <c r="E37" s="427">
        <f t="shared" ca="1" si="23"/>
        <v>384.54416355886104</v>
      </c>
      <c r="F37" s="427">
        <f t="shared" ca="1" si="23"/>
        <v>384.54416355886104</v>
      </c>
      <c r="G37" s="427">
        <f t="shared" ca="1" si="23"/>
        <v>384.54416355886104</v>
      </c>
      <c r="H37" s="427">
        <f t="shared" ca="1" si="23"/>
        <v>369.75404761904764</v>
      </c>
      <c r="I37" s="427">
        <f t="shared" ca="1" si="23"/>
        <v>369.75404761904764</v>
      </c>
      <c r="J37" s="427">
        <f t="shared" ca="1" si="23"/>
        <v>369.75404761904764</v>
      </c>
      <c r="K37" s="427">
        <f t="shared" ca="1" si="23"/>
        <v>369.75404761904764</v>
      </c>
      <c r="L37" s="427">
        <f t="shared" ca="1" si="23"/>
        <v>369.75404761904764</v>
      </c>
      <c r="M37" s="427">
        <f t="shared" ca="1" si="23"/>
        <v>369.75404761904764</v>
      </c>
      <c r="N37" s="427">
        <f t="shared" ca="1" si="23"/>
        <v>369.75404761904764</v>
      </c>
      <c r="O37" s="427">
        <f t="shared" ca="1" si="23"/>
        <v>369.75404761904764</v>
      </c>
      <c r="P37" s="427">
        <f t="shared" ca="1" si="23"/>
        <v>0</v>
      </c>
    </row>
    <row r="38" spans="1:20" ht="14" customHeight="1">
      <c r="A38" s="420" t="s">
        <v>149</v>
      </c>
      <c r="B38" s="719" t="s">
        <v>22</v>
      </c>
      <c r="C38" s="720"/>
      <c r="D38" s="425">
        <f t="shared" ref="D38:P38" ca="1" si="24">IF(ISBLANK($B$38),0,IF(AND(YEAR($L$18)=D8),$L$21*D3,IF(YEAR($L$18)&lt;D8,($L$21*(IF(D8=2025,1.04,1.03))*D3))))</f>
        <v>0</v>
      </c>
      <c r="E38" s="425">
        <f t="shared" ca="1" si="24"/>
        <v>0</v>
      </c>
      <c r="F38" s="425">
        <f t="shared" ca="1" si="24"/>
        <v>0</v>
      </c>
      <c r="G38" s="425">
        <f t="shared" ca="1" si="24"/>
        <v>0</v>
      </c>
      <c r="H38" s="425">
        <f t="shared" ca="1" si="24"/>
        <v>0</v>
      </c>
      <c r="I38" s="425">
        <f t="shared" ca="1" si="24"/>
        <v>0</v>
      </c>
      <c r="J38" s="425">
        <f t="shared" ca="1" si="24"/>
        <v>0</v>
      </c>
      <c r="K38" s="425">
        <f t="shared" ca="1" si="24"/>
        <v>0</v>
      </c>
      <c r="L38" s="425">
        <f t="shared" ca="1" si="24"/>
        <v>0</v>
      </c>
      <c r="M38" s="425">
        <f t="shared" ca="1" si="24"/>
        <v>0</v>
      </c>
      <c r="N38" s="425">
        <f t="shared" ca="1" si="24"/>
        <v>0</v>
      </c>
      <c r="O38" s="425">
        <f t="shared" ca="1" si="24"/>
        <v>0</v>
      </c>
      <c r="P38" s="425">
        <f t="shared" ca="1" si="24"/>
        <v>0</v>
      </c>
    </row>
    <row r="39" spans="1:20" ht="14" customHeight="1">
      <c r="A39" s="420" t="s">
        <v>149</v>
      </c>
      <c r="B39" s="719" t="s">
        <v>508</v>
      </c>
      <c r="C39" s="720"/>
      <c r="D39" s="425">
        <f ca="1">IF(ISBLANK(B39),0,L22*D3)</f>
        <v>0</v>
      </c>
      <c r="E39" s="425">
        <f t="shared" ref="E39:P39" ca="1" si="25">$D$39*E3</f>
        <v>0</v>
      </c>
      <c r="F39" s="425">
        <f t="shared" ca="1" si="25"/>
        <v>0</v>
      </c>
      <c r="G39" s="425">
        <f t="shared" ca="1" si="25"/>
        <v>0</v>
      </c>
      <c r="H39" s="425">
        <f t="shared" ca="1" si="25"/>
        <v>0</v>
      </c>
      <c r="I39" s="425">
        <f t="shared" ca="1" si="25"/>
        <v>0</v>
      </c>
      <c r="J39" s="425">
        <f t="shared" ca="1" si="25"/>
        <v>0</v>
      </c>
      <c r="K39" s="425">
        <f t="shared" ca="1" si="25"/>
        <v>0</v>
      </c>
      <c r="L39" s="425">
        <f t="shared" ca="1" si="25"/>
        <v>0</v>
      </c>
      <c r="M39" s="425">
        <f t="shared" ca="1" si="25"/>
        <v>0</v>
      </c>
      <c r="N39" s="425">
        <f t="shared" ca="1" si="25"/>
        <v>0</v>
      </c>
      <c r="O39" s="425">
        <f t="shared" ca="1" si="25"/>
        <v>0</v>
      </c>
      <c r="P39" s="425">
        <f t="shared" ca="1" si="25"/>
        <v>0</v>
      </c>
    </row>
    <row r="40" spans="1:20" s="430" customFormat="1" ht="15" customHeight="1">
      <c r="A40" s="428"/>
      <c r="B40" s="534" t="s">
        <v>551</v>
      </c>
      <c r="C40" s="528">
        <f ca="1">SUM(D40:P40)</f>
        <v>31383.7362748177</v>
      </c>
      <c r="D40" s="429">
        <f t="shared" ref="D40:P40" ca="1" si="26">IF(D27=D6,SUM(D30:D39),(((D27*100)/D6)/100)*SUM(D30:D39))</f>
        <v>2602.0821734149595</v>
      </c>
      <c r="E40" s="429">
        <f t="shared" ca="1" si="26"/>
        <v>2691.809144912027</v>
      </c>
      <c r="F40" s="429">
        <f t="shared" ca="1" si="26"/>
        <v>2691.809144912027</v>
      </c>
      <c r="G40" s="429">
        <f t="shared" ca="1" si="26"/>
        <v>2691.809144912027</v>
      </c>
      <c r="H40" s="429">
        <f t="shared" ca="1" si="26"/>
        <v>2588.2783333333332</v>
      </c>
      <c r="I40" s="429">
        <f t="shared" ca="1" si="26"/>
        <v>2588.2783333333332</v>
      </c>
      <c r="J40" s="429">
        <f t="shared" ca="1" si="26"/>
        <v>2588.2783333333332</v>
      </c>
      <c r="K40" s="429">
        <f t="shared" ca="1" si="26"/>
        <v>2588.2783333333332</v>
      </c>
      <c r="L40" s="429">
        <f t="shared" ca="1" si="26"/>
        <v>2588.2783333333332</v>
      </c>
      <c r="M40" s="429">
        <f t="shared" ca="1" si="26"/>
        <v>2588.2783333333332</v>
      </c>
      <c r="N40" s="429">
        <f t="shared" ca="1" si="26"/>
        <v>2588.2783333333332</v>
      </c>
      <c r="O40" s="429">
        <f t="shared" ca="1" si="26"/>
        <v>2588.2783333333332</v>
      </c>
      <c r="P40" s="429">
        <f t="shared" ca="1" si="26"/>
        <v>0</v>
      </c>
    </row>
    <row r="41" spans="1:20" ht="14.5" customHeight="1">
      <c r="B41" s="533" t="s">
        <v>537</v>
      </c>
      <c r="C41" s="431">
        <f ca="1">SUM(D41:P41)</f>
        <v>26900.345378415186</v>
      </c>
      <c r="D41" s="431">
        <f t="shared" ref="D41:P41" ca="1" si="27">IF(D27=D6,SUM(D30:D36)+SUM(D38:D39),(((D27*100)/D6)/100)*SUM(D30:D36)+SUM(D38:D39))</f>
        <v>2230.3561486413942</v>
      </c>
      <c r="E41" s="431">
        <f t="shared" ca="1" si="27"/>
        <v>2307.2649813531661</v>
      </c>
      <c r="F41" s="431">
        <f t="shared" ca="1" si="27"/>
        <v>2307.2649813531661</v>
      </c>
      <c r="G41" s="431">
        <f t="shared" ca="1" si="27"/>
        <v>2307.2649813531661</v>
      </c>
      <c r="H41" s="431">
        <f t="shared" ca="1" si="27"/>
        <v>2218.5242857142857</v>
      </c>
      <c r="I41" s="431">
        <f t="shared" ca="1" si="27"/>
        <v>2218.5242857142857</v>
      </c>
      <c r="J41" s="431">
        <f t="shared" ca="1" si="27"/>
        <v>2218.5242857142857</v>
      </c>
      <c r="K41" s="431">
        <f t="shared" ca="1" si="27"/>
        <v>2218.5242857142857</v>
      </c>
      <c r="L41" s="431">
        <f t="shared" ca="1" si="27"/>
        <v>2218.5242857142857</v>
      </c>
      <c r="M41" s="431">
        <f t="shared" ca="1" si="27"/>
        <v>2218.5242857142857</v>
      </c>
      <c r="N41" s="431">
        <f t="shared" ca="1" si="27"/>
        <v>2218.5242857142857</v>
      </c>
      <c r="O41" s="431">
        <f t="shared" ca="1" si="27"/>
        <v>2218.5242857142857</v>
      </c>
      <c r="P41" s="431">
        <f t="shared" ca="1" si="27"/>
        <v>0</v>
      </c>
    </row>
    <row r="42" spans="1:20" ht="14.5" customHeight="1">
      <c r="B42" s="529" t="s">
        <v>549</v>
      </c>
      <c r="C42" s="530">
        <f ca="1">SUM(D42:P42)</f>
        <v>2264.8666106882442</v>
      </c>
      <c r="D42" s="432">
        <f t="shared" ref="D42:P42" ca="1" si="28">IF(D7&lt;7,(((D27*100)/D6)/100)*D37,0)</f>
        <v>371.72602477356565</v>
      </c>
      <c r="E42" s="432">
        <f t="shared" ca="1" si="28"/>
        <v>384.54416355886104</v>
      </c>
      <c r="F42" s="432">
        <f t="shared" ca="1" si="28"/>
        <v>384.54416355886104</v>
      </c>
      <c r="G42" s="432">
        <f t="shared" ca="1" si="28"/>
        <v>384.54416355886104</v>
      </c>
      <c r="H42" s="432">
        <f t="shared" ca="1" si="28"/>
        <v>0</v>
      </c>
      <c r="I42" s="432">
        <f t="shared" ca="1" si="28"/>
        <v>0</v>
      </c>
      <c r="J42" s="432">
        <f t="shared" ca="1" si="28"/>
        <v>0</v>
      </c>
      <c r="K42" s="432">
        <f t="shared" ca="1" si="28"/>
        <v>0</v>
      </c>
      <c r="L42" s="432">
        <f t="shared" ca="1" si="28"/>
        <v>0</v>
      </c>
      <c r="M42" s="432">
        <f t="shared" ca="1" si="28"/>
        <v>0</v>
      </c>
      <c r="N42" s="432">
        <f t="shared" ca="1" si="28"/>
        <v>369.75404761904764</v>
      </c>
      <c r="O42" s="432">
        <f t="shared" ca="1" si="28"/>
        <v>369.75404761904764</v>
      </c>
      <c r="P42" s="432">
        <f t="shared" ca="1" si="28"/>
        <v>0</v>
      </c>
    </row>
    <row r="43" spans="1:20" ht="14.5" customHeight="1">
      <c r="B43" s="531" t="s">
        <v>550</v>
      </c>
      <c r="C43" s="532">
        <f ca="1">SUM(D43:P43)</f>
        <v>2218.5242857142857</v>
      </c>
      <c r="D43" s="433">
        <f t="shared" ref="D43:P43" ca="1" si="29">IF(D7&gt;6,(((D27*100)/D6)/100)*D37,0)</f>
        <v>0</v>
      </c>
      <c r="E43" s="433">
        <f t="shared" ca="1" si="29"/>
        <v>0</v>
      </c>
      <c r="F43" s="433">
        <f t="shared" ca="1" si="29"/>
        <v>0</v>
      </c>
      <c r="G43" s="433">
        <f t="shared" ca="1" si="29"/>
        <v>0</v>
      </c>
      <c r="H43" s="433">
        <f t="shared" ca="1" si="29"/>
        <v>369.75404761904764</v>
      </c>
      <c r="I43" s="433">
        <f t="shared" ca="1" si="29"/>
        <v>369.75404761904764</v>
      </c>
      <c r="J43" s="433">
        <f t="shared" ca="1" si="29"/>
        <v>369.75404761904764</v>
      </c>
      <c r="K43" s="433">
        <f t="shared" ca="1" si="29"/>
        <v>369.75404761904764</v>
      </c>
      <c r="L43" s="433">
        <f t="shared" ca="1" si="29"/>
        <v>369.75404761904764</v>
      </c>
      <c r="M43" s="433">
        <f t="shared" ca="1" si="29"/>
        <v>369.75404761904764</v>
      </c>
      <c r="N43" s="433">
        <f t="shared" ca="1" si="29"/>
        <v>0</v>
      </c>
      <c r="O43" s="433">
        <f t="shared" ca="1" si="29"/>
        <v>0</v>
      </c>
      <c r="P43" s="433">
        <f t="shared" ca="1" si="29"/>
        <v>0</v>
      </c>
    </row>
    <row r="44" spans="1:20" ht="10" customHeight="1">
      <c r="B44" s="402"/>
      <c r="C44" s="402"/>
      <c r="D44" s="434"/>
      <c r="E44" s="434"/>
      <c r="F44" s="434"/>
      <c r="G44" s="434"/>
      <c r="H44" s="434"/>
      <c r="I44" s="434"/>
      <c r="J44" s="434"/>
      <c r="K44" s="434"/>
      <c r="L44" s="434"/>
      <c r="M44" s="434"/>
      <c r="N44" s="434"/>
      <c r="O44" s="434"/>
      <c r="P44" s="434"/>
    </row>
    <row r="45" spans="1:20" ht="15" customHeight="1">
      <c r="B45" s="730" t="s">
        <v>495</v>
      </c>
      <c r="C45" s="729" t="str">
        <f t="shared" ref="C45:P45" ca="1" si="30">C26</f>
        <v>364 días</v>
      </c>
      <c r="D45" s="435" t="str">
        <f t="shared" ca="1" si="30"/>
        <v>Abril 2025</v>
      </c>
      <c r="E45" s="435" t="str">
        <f t="shared" ca="1" si="30"/>
        <v>Marzo 2025</v>
      </c>
      <c r="F45" s="435" t="str">
        <f t="shared" ca="1" si="30"/>
        <v>Febrero 2025</v>
      </c>
      <c r="G45" s="435" t="str">
        <f t="shared" ca="1" si="30"/>
        <v>Enero 2025</v>
      </c>
      <c r="H45" s="435" t="str">
        <f t="shared" ca="1" si="30"/>
        <v>Diciembre 2024</v>
      </c>
      <c r="I45" s="435" t="str">
        <f t="shared" ca="1" si="30"/>
        <v>Noviembre 2024</v>
      </c>
      <c r="J45" s="435" t="str">
        <f t="shared" ca="1" si="30"/>
        <v>Octubre 2024</v>
      </c>
      <c r="K45" s="435" t="str">
        <f t="shared" ca="1" si="30"/>
        <v>Septiembre 2024</v>
      </c>
      <c r="L45" s="435" t="str">
        <f t="shared" ca="1" si="30"/>
        <v>Agosto 2024</v>
      </c>
      <c r="M45" s="435" t="str">
        <f t="shared" ca="1" si="30"/>
        <v>Julio 2024</v>
      </c>
      <c r="N45" s="435" t="str">
        <f t="shared" ca="1" si="30"/>
        <v>Junio 2024</v>
      </c>
      <c r="O45" s="435" t="str">
        <f t="shared" ca="1" si="30"/>
        <v>Mayo 2024</v>
      </c>
      <c r="P45" s="435" t="str">
        <f t="shared" ca="1" si="30"/>
        <v>Abril 2024</v>
      </c>
    </row>
    <row r="46" spans="1:20" ht="15" customHeight="1">
      <c r="B46" s="731"/>
      <c r="C46" s="729"/>
      <c r="D46" s="436">
        <f t="shared" ref="D46:P46" ca="1" si="31">D27</f>
        <v>29</v>
      </c>
      <c r="E46" s="436">
        <f t="shared" ca="1" si="31"/>
        <v>31</v>
      </c>
      <c r="F46" s="436">
        <f t="shared" ca="1" si="31"/>
        <v>28</v>
      </c>
      <c r="G46" s="436">
        <f t="shared" ca="1" si="31"/>
        <v>31</v>
      </c>
      <c r="H46" s="436">
        <f t="shared" ca="1" si="31"/>
        <v>31</v>
      </c>
      <c r="I46" s="436">
        <f t="shared" ca="1" si="31"/>
        <v>30</v>
      </c>
      <c r="J46" s="436">
        <f t="shared" ca="1" si="31"/>
        <v>31</v>
      </c>
      <c r="K46" s="436">
        <f t="shared" ca="1" si="31"/>
        <v>30</v>
      </c>
      <c r="L46" s="436">
        <f t="shared" ca="1" si="31"/>
        <v>31</v>
      </c>
      <c r="M46" s="436">
        <f t="shared" ca="1" si="31"/>
        <v>31</v>
      </c>
      <c r="N46" s="436">
        <f t="shared" ca="1" si="31"/>
        <v>30</v>
      </c>
      <c r="O46" s="436">
        <f t="shared" ca="1" si="31"/>
        <v>31</v>
      </c>
      <c r="P46" s="436">
        <f t="shared" ca="1" si="31"/>
        <v>1</v>
      </c>
    </row>
    <row r="47" spans="1:20">
      <c r="B47" s="710" t="s">
        <v>344</v>
      </c>
      <c r="C47" s="711"/>
      <c r="D47" s="296" t="str">
        <f>$F$20</f>
        <v>4.A.1</v>
      </c>
      <c r="E47" s="296" t="str">
        <f>D47</f>
        <v>4.A.1</v>
      </c>
      <c r="F47" s="296" t="str">
        <f t="shared" ref="F47:P47" si="32">E47</f>
        <v>4.A.1</v>
      </c>
      <c r="G47" s="296" t="str">
        <f t="shared" si="32"/>
        <v>4.A.1</v>
      </c>
      <c r="H47" s="296" t="str">
        <f t="shared" si="32"/>
        <v>4.A.1</v>
      </c>
      <c r="I47" s="296" t="str">
        <f t="shared" si="32"/>
        <v>4.A.1</v>
      </c>
      <c r="J47" s="296" t="str">
        <f t="shared" si="32"/>
        <v>4.A.1</v>
      </c>
      <c r="K47" s="296" t="str">
        <f t="shared" si="32"/>
        <v>4.A.1</v>
      </c>
      <c r="L47" s="296" t="str">
        <f t="shared" si="32"/>
        <v>4.A.1</v>
      </c>
      <c r="M47" s="296" t="str">
        <f t="shared" si="32"/>
        <v>4.A.1</v>
      </c>
      <c r="N47" s="296" t="str">
        <f t="shared" si="32"/>
        <v>4.A.1</v>
      </c>
      <c r="O47" s="296" t="str">
        <f t="shared" si="32"/>
        <v>4.A.1</v>
      </c>
      <c r="P47" s="296" t="str">
        <f t="shared" si="32"/>
        <v>4.A.1</v>
      </c>
    </row>
    <row r="48" spans="1:20" ht="15" thickBot="1">
      <c r="B48" s="727" t="s">
        <v>490</v>
      </c>
      <c r="C48" s="728"/>
      <c r="D48" s="437" t="str">
        <f t="shared" ref="D48:P48" ca="1" si="33">CONCATENATE("Tablas ",D8)</f>
        <v>Tablas 2025</v>
      </c>
      <c r="E48" s="437" t="str">
        <f t="shared" ca="1" si="33"/>
        <v>Tablas 2025</v>
      </c>
      <c r="F48" s="437" t="str">
        <f t="shared" ca="1" si="33"/>
        <v>Tablas 2025</v>
      </c>
      <c r="G48" s="437" t="str">
        <f t="shared" ca="1" si="33"/>
        <v>Tablas 2025</v>
      </c>
      <c r="H48" s="437" t="str">
        <f t="shared" ca="1" si="33"/>
        <v>Tablas 2024</v>
      </c>
      <c r="I48" s="437" t="str">
        <f t="shared" ca="1" si="33"/>
        <v>Tablas 2024</v>
      </c>
      <c r="J48" s="437" t="str">
        <f t="shared" ca="1" si="33"/>
        <v>Tablas 2024</v>
      </c>
      <c r="K48" s="437" t="str">
        <f t="shared" ca="1" si="33"/>
        <v>Tablas 2024</v>
      </c>
      <c r="L48" s="437" t="str">
        <f t="shared" ca="1" si="33"/>
        <v>Tablas 2024</v>
      </c>
      <c r="M48" s="437" t="str">
        <f t="shared" ca="1" si="33"/>
        <v>Tablas 2024</v>
      </c>
      <c r="N48" s="437" t="str">
        <f t="shared" ca="1" si="33"/>
        <v>Tablas 2024</v>
      </c>
      <c r="O48" s="437" t="str">
        <f t="shared" ca="1" si="33"/>
        <v>Tablas 2024</v>
      </c>
      <c r="P48" s="437" t="str">
        <f t="shared" ca="1" si="33"/>
        <v>Tablas 2024</v>
      </c>
    </row>
    <row r="49" spans="2:16" ht="14" customHeight="1">
      <c r="B49" s="708" t="s">
        <v>18</v>
      </c>
      <c r="C49" s="709"/>
      <c r="D49" s="425">
        <f ca="1">(VLOOKUP(D47,TABLAS!$D$3:$P$60,IF(D8=2024,2,IF(D8=2025,5,IF(D8=2026,8,IF(D8=2027,11,11)))),FALSE)/14)*D25*D3</f>
        <v>1975.4692857142857</v>
      </c>
      <c r="E49" s="425">
        <f ca="1">(VLOOKUP(E47,TABLAS!$D$3:$P$60,IF(E8=2024,2,IF(E8=2025,5,IF(E8=2026,8,IF(E8=2027,11,11)))),FALSE)/14)*E25*E3</f>
        <v>1975.4692857142857</v>
      </c>
      <c r="F49" s="425">
        <f ca="1">(VLOOKUP(F47,TABLAS!$D$3:$P$60,IF(F8=2024,2,IF(F8=2025,5,IF(F8=2026,8,IF(F8=2027,11,11)))),FALSE)/14)*F25*F3</f>
        <v>1975.4692857142857</v>
      </c>
      <c r="G49" s="425">
        <f ca="1">(VLOOKUP(G47,TABLAS!$D$3:$P$60,IF(G8=2024,2,IF(G8=2025,5,IF(G8=2026,8,IF(G8=2027,11,11)))),FALSE)/14)*G25*G3</f>
        <v>1975.4692857142857</v>
      </c>
      <c r="H49" s="425">
        <f ca="1">(VLOOKUP(H47,TABLAS!$D$3:$P$60,IF(H8=2024,2,IF(H8=2025,5,IF(H8=2026,8,IF(H8=2027,11,11)))),FALSE)/14)*H25*H3</f>
        <v>1899.49</v>
      </c>
      <c r="I49" s="425">
        <f ca="1">(VLOOKUP(I47,TABLAS!$D$3:$P$60,IF(I8=2024,2,IF(I8=2025,5,IF(I8=2026,8,IF(I8=2027,11,11)))),FALSE)/14)*I25*I3</f>
        <v>1899.49</v>
      </c>
      <c r="J49" s="425">
        <f ca="1">(VLOOKUP(J47,TABLAS!$D$3:$P$60,IF(J8=2024,2,IF(J8=2025,5,IF(J8=2026,8,IF(J8=2027,11,11)))),FALSE)/14)*J25*J3</f>
        <v>1899.49</v>
      </c>
      <c r="K49" s="425">
        <f ca="1">(VLOOKUP(K47,TABLAS!$D$3:$P$60,IF(K8=2024,2,IF(K8=2025,5,IF(K8=2026,8,IF(K8=2027,11,11)))),FALSE)/14)*K25*K3</f>
        <v>1899.49</v>
      </c>
      <c r="L49" s="425">
        <f ca="1">(VLOOKUP(L47,TABLAS!$D$3:$P$60,IF(L8=2024,2,IF(L8=2025,5,IF(L8=2026,8,IF(L8=2027,11,11)))),FALSE)/14)*L25*L3</f>
        <v>1899.49</v>
      </c>
      <c r="M49" s="425">
        <f ca="1">(VLOOKUP(M47,TABLAS!$D$3:$P$60,IF(M8=2024,2,IF(M8=2025,5,IF(M8=2026,8,IF(M8=2027,11,11)))),FALSE)/14)*M25*M3</f>
        <v>1899.49</v>
      </c>
      <c r="N49" s="425">
        <f ca="1">(VLOOKUP(N47,TABLAS!$D$3:$P$60,IF(N8=2024,2,IF(N8=2025,5,IF(N8=2026,8,IF(N8=2027,11,11)))),FALSE)/14)*N25*N3</f>
        <v>1899.49</v>
      </c>
      <c r="O49" s="425">
        <f ca="1">(VLOOKUP(O47,TABLAS!$D$3:$P$60,IF(O8=2024,2,IF(O8=2025,5,IF(O8=2026,8,IF(O8=2027,11,11)))),FALSE)/14)*O25*O3</f>
        <v>1899.49</v>
      </c>
      <c r="P49" s="425">
        <f ca="1">(VLOOKUP(P47,TABLAS!$D$3:$P$60,IF(P8=2024,2,IF(P8=2025,5,IF(P8=2026,8,IF(P8=2027,11,11)))),FALSE)/14)*P25*P3</f>
        <v>0</v>
      </c>
    </row>
    <row r="50" spans="2:16" ht="14" customHeight="1">
      <c r="B50" s="708" t="str">
        <f>IF(ISBLANK(B31),"",B31)</f>
        <v>EX SALARIO BASE 2022</v>
      </c>
      <c r="C50" s="709"/>
      <c r="D50" s="425">
        <f ca="1">IF(ISBLANK($B$31),0,IF(YEAR($L$18)=D8,$F$21*D$3,IF(YEAR($L$18)&lt;D8,IF(D8=2025,$F$21*(1+VLOOKUP(D$47,TABLAS!$D$3:$R$60,15,FALSE))*D$3,IF(D8&gt;2025,$F$21*1.03*D$3)))))</f>
        <v>103.99998756877747</v>
      </c>
      <c r="E50" s="425">
        <f ca="1">IF(ISBLANK($B$31),0,IF(YEAR($L$18)=E8,$F$21*E$3,IF(YEAR($L$18)&lt;E8,IF(E8=2025,$F$21*(1+VLOOKUP(E$47,TABLAS!$D$3:$R$60,15,FALSE))*E$3,IF(E8&gt;2025,$F$21*1.03*E$3)))))</f>
        <v>103.99998756877747</v>
      </c>
      <c r="F50" s="425">
        <f ca="1">IF(ISBLANK($B$31),0,IF(YEAR($L$18)=F8,$F$21*F$3,IF(YEAR($L$18)&lt;F8,IF(F8=2025,$F$21*(1+VLOOKUP(F$47,TABLAS!$D$3:$R$60,15,FALSE))*F$3,IF(F8&gt;2025,$F$21*1.03*F$3)))))</f>
        <v>103.99998756877747</v>
      </c>
      <c r="G50" s="425">
        <f ca="1">IF(ISBLANK($B$31),0,IF(YEAR($L$18)=G8,$F$21*G$3,IF(YEAR($L$18)&lt;G8,IF(G8=2025,$F$21*(1+VLOOKUP(G$47,TABLAS!$D$3:$R$60,15,FALSE))*G$3,IF(G8&gt;2025,$F$21*1.03*G$3)))))</f>
        <v>103.99998756877747</v>
      </c>
      <c r="H50" s="425">
        <f ca="1">IF(ISBLANK($B$31),0,IF(YEAR($L$18)=H8,$F$21*H$3,IF(YEAR($L$18)&lt;H8,IF(H8=2025,$F$21*(1+VLOOKUP(H$47,TABLAS!$D$3:$R$60,15,FALSE))*H$3,IF(H8&gt;2025,$F$21*1.03*H$3)))))</f>
        <v>100</v>
      </c>
      <c r="I50" s="425">
        <f ca="1">IF(ISBLANK($B$31),0,IF(YEAR($L$18)=I8,$F$21*I$3,IF(YEAR($L$18)&lt;I8,IF(I8=2025,$F$21*(1+VLOOKUP(I$47,TABLAS!$D$3:$R$60,15,FALSE))*I$3,IF(I8&gt;2025,$F$21*1.03*I$3)))))</f>
        <v>100</v>
      </c>
      <c r="J50" s="425">
        <f ca="1">IF(ISBLANK($B$31),0,IF(YEAR($L$18)=J8,$F$21*J$3,IF(YEAR($L$18)&lt;J8,IF(J8=2025,$F$21*(1+VLOOKUP(J$47,TABLAS!$D$3:$R$60,15,FALSE))*J$3,IF(J8&gt;2025,$F$21*1.03*J$3)))))</f>
        <v>100</v>
      </c>
      <c r="K50" s="425">
        <f ca="1">IF(ISBLANK($B$31),0,IF(YEAR($L$18)=K8,$F$21*K$3,IF(YEAR($L$18)&lt;K8,IF(K8=2025,$F$21*(1+VLOOKUP(K$47,TABLAS!$D$3:$R$60,15,FALSE))*K$3,IF(K8&gt;2025,$F$21*1.03*K$3)))))</f>
        <v>100</v>
      </c>
      <c r="L50" s="425">
        <f ca="1">IF(ISBLANK($B$31),0,IF(YEAR($L$18)=L8,$F$21*L$3,IF(YEAR($L$18)&lt;L8,IF(L8=2025,$F$21*(1+VLOOKUP(L$47,TABLAS!$D$3:$R$60,15,FALSE))*L$3,IF(L8&gt;2025,$F$21*1.03*L$3)))))</f>
        <v>100</v>
      </c>
      <c r="M50" s="425">
        <f ca="1">IF(ISBLANK($B$31),0,IF(YEAR($L$18)=M8,$F$21*M$3,IF(YEAR($L$18)&lt;M8,IF(M8=2025,$F$21*(1+VLOOKUP(M$47,TABLAS!$D$3:$R$60,15,FALSE))*M$3,IF(M8&gt;2025,$F$21*1.03*M$3)))))</f>
        <v>100</v>
      </c>
      <c r="N50" s="425">
        <f ca="1">IF(ISBLANK($B$31),0,IF(YEAR($L$18)=N8,$F$21*N$3,IF(YEAR($L$18)&lt;N8,IF(N8=2025,$F$21*(1+VLOOKUP(N$47,TABLAS!$D$3:$R$60,15,FALSE))*N$3,IF(N8&gt;2025,$F$21*1.03*N$3)))))</f>
        <v>100</v>
      </c>
      <c r="O50" s="425">
        <f ca="1">IF(ISBLANK($B$31),0,IF(YEAR($L$18)=O8,$F$21*O$3,IF(YEAR($L$18)&lt;O8,IF(O8=2025,$F$21*(1+VLOOKUP(O$47,TABLAS!$D$3:$R$60,15,FALSE))*O$3,IF(O8&gt;2025,$F$21*1.03*O$3)))))</f>
        <v>100</v>
      </c>
      <c r="P50" s="425">
        <f ca="1">IF(ISBLANK($B$31),0,IF(YEAR($L$18)=P8,$F$21*P$3,IF(YEAR($L$18)&lt;P8,IF(P8=2025,$F$21*(1+VLOOKUP(P$47,TABLAS!$D$3:$R$60,15,FALSE))*P$3,IF(P8&gt;2025,$F$21*1.03*P$3)))))</f>
        <v>0</v>
      </c>
    </row>
    <row r="51" spans="2:16" ht="14" customHeight="1">
      <c r="B51" s="708" t="s">
        <v>19</v>
      </c>
      <c r="C51" s="709"/>
      <c r="D51" s="425">
        <f ca="1">(VLOOKUP(D47,TABLAS!$D$3:$P$60,IF(D8=2024,3,IF(D8=2025,6,IF(D8=2026,9,IF(D8=2027,12,12)))),FALSE)/14)*D25*D3</f>
        <v>175.79571428571427</v>
      </c>
      <c r="E51" s="425">
        <f ca="1">(VLOOKUP(E47,TABLAS!$D$3:$P$60,IF(E8=2024,3,IF(E8=2025,6,IF(E8=2026,9,IF(E8=2027,12,12)))),FALSE)/14)*E25*E3</f>
        <v>175.79571428571427</v>
      </c>
      <c r="F51" s="425">
        <f ca="1">(VLOOKUP(F47,TABLAS!$D$3:$P$60,IF(F8=2024,3,IF(F8=2025,6,IF(F8=2026,9,IF(F8=2027,12,12)))),FALSE)/14)*F25*F3</f>
        <v>175.79571428571427</v>
      </c>
      <c r="G51" s="425">
        <f ca="1">(VLOOKUP(G47,TABLAS!$D$3:$P$60,IF(G8=2024,3,IF(G8=2025,6,IF(G8=2026,9,IF(G8=2027,12,12)))),FALSE)/14)*G25*G3</f>
        <v>175.79571428571427</v>
      </c>
      <c r="H51" s="425">
        <f ca="1">(VLOOKUP(H47,TABLAS!$D$3:$P$60,IF(H8=2024,3,IF(H8=2025,6,IF(H8=2026,9,IF(H8=2027,12,12)))),FALSE)/14)*H25*H3</f>
        <v>169.03428571428572</v>
      </c>
      <c r="I51" s="425">
        <f ca="1">(VLOOKUP(I47,TABLAS!$D$3:$P$60,IF(I8=2024,3,IF(I8=2025,6,IF(I8=2026,9,IF(I8=2027,12,12)))),FALSE)/14)*I25*I3</f>
        <v>169.03428571428572</v>
      </c>
      <c r="J51" s="425">
        <f ca="1">(VLOOKUP(J47,TABLAS!$D$3:$P$60,IF(J8=2024,3,IF(J8=2025,6,IF(J8=2026,9,IF(J8=2027,12,12)))),FALSE)/14)*J25*J3</f>
        <v>169.03428571428572</v>
      </c>
      <c r="K51" s="425">
        <f ca="1">(VLOOKUP(K47,TABLAS!$D$3:$P$60,IF(K8=2024,3,IF(K8=2025,6,IF(K8=2026,9,IF(K8=2027,12,12)))),FALSE)/14)*K25*K3</f>
        <v>169.03428571428572</v>
      </c>
      <c r="L51" s="425">
        <f ca="1">(VLOOKUP(L47,TABLAS!$D$3:$P$60,IF(L8=2024,3,IF(L8=2025,6,IF(L8=2026,9,IF(L8=2027,12,12)))),FALSE)/14)*L25*L3</f>
        <v>169.03428571428572</v>
      </c>
      <c r="M51" s="425">
        <f ca="1">(VLOOKUP(M47,TABLAS!$D$3:$P$60,IF(M8=2024,3,IF(M8=2025,6,IF(M8=2026,9,IF(M8=2027,12,12)))),FALSE)/14)*M25*M3</f>
        <v>169.03428571428572</v>
      </c>
      <c r="N51" s="425">
        <f ca="1">(VLOOKUP(N47,TABLAS!$D$3:$P$60,IF(N8=2024,3,IF(N8=2025,6,IF(N8=2026,9,IF(N8=2027,12,12)))),FALSE)/14)*N25*N3</f>
        <v>169.03428571428572</v>
      </c>
      <c r="O51" s="425">
        <f ca="1">(VLOOKUP(O47,TABLAS!$D$3:$P$60,IF(O8=2024,3,IF(O8=2025,6,IF(O8=2026,9,IF(O8=2027,12,12)))),FALSE)/14)*O25*O3</f>
        <v>169.03428571428572</v>
      </c>
      <c r="P51" s="425">
        <f ca="1">(VLOOKUP(P47,TABLAS!$D$3:$P$60,IF(P8=2024,3,IF(P8=2025,6,IF(P8=2026,9,IF(P8=2027,12,12)))),FALSE)/14)*P25*P3</f>
        <v>0</v>
      </c>
    </row>
    <row r="52" spans="2:16" ht="14" customHeight="1">
      <c r="B52" s="708" t="str">
        <f>IF(ISBLANK(B33),"",B33)</f>
        <v>EX PLUS CONVENIO 2022</v>
      </c>
      <c r="C52" s="709"/>
      <c r="D52" s="425">
        <f ca="1">IF(ISBLANK($B$33),0,IF(YEAR($L$18)=D8,$F$22*D$3,IF(YEAR($L$18)&lt;D8,IF(D8=2025,$F$22*(1+VLOOKUP(D$47,TABLAS!$D$3:$R$60,15,FALSE))*D$3,IF(D8&gt;2025,$F$22*1.03*D$3)))))</f>
        <v>51.999993784388735</v>
      </c>
      <c r="E52" s="425">
        <f ca="1">IF(ISBLANK($B$33),0,IF(YEAR($L$18)=E8,$F$22*E$3,IF(YEAR($L$18)&lt;E8,IF(E8=2025,$F$22*(1+VLOOKUP(E$47,TABLAS!$D$3:$R$60,15,FALSE))*E$3,IF(E8&gt;2025,$F$22*1.03*E$3)))))</f>
        <v>51.999993784388735</v>
      </c>
      <c r="F52" s="425">
        <f ca="1">IF(ISBLANK($B$33),0,IF(YEAR($L$18)=F8,$F$22*F$3,IF(YEAR($L$18)&lt;F8,IF(F8=2025,$F$22*(1+VLOOKUP(F$47,TABLAS!$D$3:$R$60,15,FALSE))*F$3,IF(F8&gt;2025,$F$22*1.03*F$3)))))</f>
        <v>51.999993784388735</v>
      </c>
      <c r="G52" s="425">
        <f ca="1">IF(ISBLANK($B$33),0,IF(YEAR($L$18)=G8,$F$22*G$3,IF(YEAR($L$18)&lt;G8,IF(G8=2025,$F$22*(1+VLOOKUP(G$47,TABLAS!$D$3:$R$60,15,FALSE))*G$3,IF(G8&gt;2025,$F$22*1.03*G$3)))))</f>
        <v>51.999993784388735</v>
      </c>
      <c r="H52" s="425">
        <f ca="1">IF(ISBLANK($B$33),0,IF(YEAR($L$18)=H8,$F$22*H$3,IF(YEAR($L$18)&lt;H8,IF(H8=2025,$F$22*(1+VLOOKUP(H$47,TABLAS!$D$3:$R$60,15,FALSE))*H$3,IF(H8&gt;2025,$F$22*1.03*H$3)))))</f>
        <v>50</v>
      </c>
      <c r="I52" s="425">
        <f ca="1">IF(ISBLANK($B$33),0,IF(YEAR($L$18)=I8,$F$22*I$3,IF(YEAR($L$18)&lt;I8,IF(I8=2025,$F$22*(1+VLOOKUP(I$47,TABLAS!$D$3:$R$60,15,FALSE))*I$3,IF(I8&gt;2025,$F$22*1.03*I$3)))))</f>
        <v>50</v>
      </c>
      <c r="J52" s="425">
        <f ca="1">IF(ISBLANK($B$33),0,IF(YEAR($L$18)=J8,$F$22*J$3,IF(YEAR($L$18)&lt;J8,IF(J8=2025,$F$22*(1+VLOOKUP(J$47,TABLAS!$D$3:$R$60,15,FALSE))*J$3,IF(J8&gt;2025,$F$22*1.03*J$3)))))</f>
        <v>50</v>
      </c>
      <c r="K52" s="425">
        <f ca="1">IF(ISBLANK($B$33),0,IF(YEAR($L$18)=K8,$F$22*K$3,IF(YEAR($L$18)&lt;K8,IF(K8=2025,$F$22*(1+VLOOKUP(K$47,TABLAS!$D$3:$R$60,15,FALSE))*K$3,IF(K8&gt;2025,$F$22*1.03*K$3)))))</f>
        <v>50</v>
      </c>
      <c r="L52" s="425">
        <f ca="1">IF(ISBLANK($B$33),0,IF(YEAR($L$18)=L8,$F$22*L$3,IF(YEAR($L$18)&lt;L8,IF(L8=2025,$F$22*(1+VLOOKUP(L$47,TABLAS!$D$3:$R$60,15,FALSE))*L$3,IF(L8&gt;2025,$F$22*1.03*L$3)))))</f>
        <v>50</v>
      </c>
      <c r="M52" s="425">
        <f ca="1">IF(ISBLANK($B$33),0,IF(YEAR($L$18)=M8,$F$22*M$3,IF(YEAR($L$18)&lt;M8,IF(M8=2025,$F$22*(1+VLOOKUP(M$47,TABLAS!$D$3:$R$60,15,FALSE))*M$3,IF(M8&gt;2025,$F$22*1.03*M$3)))))</f>
        <v>50</v>
      </c>
      <c r="N52" s="425">
        <f ca="1">IF(ISBLANK($B$33),0,IF(YEAR($L$18)=N8,$F$22*N$3,IF(YEAR($L$18)&lt;N8,IF(N8=2025,$F$22*(1+VLOOKUP(N$47,TABLAS!$D$3:$R$60,15,FALSE))*N$3,IF(N8&gt;2025,$F$22*1.03*N$3)))))</f>
        <v>50</v>
      </c>
      <c r="O52" s="425">
        <f ca="1">IF(ISBLANK($B$33),0,IF(YEAR($L$18)=O8,$F$22*O$3,IF(YEAR($L$18)&lt;O8,IF(O8=2025,$F$22*(1+VLOOKUP(O$47,TABLAS!$D$3:$R$60,15,FALSE))*O$3,IF(O8&gt;2025,$F$22*1.03*O$3)))))</f>
        <v>50</v>
      </c>
      <c r="P52" s="425">
        <f ca="1">IF(ISBLANK($B$33),0,IF(YEAR($L$18)=P8,$F$22*P$3,IF(YEAR($L$18)&lt;P8,IF(P8=2025,$F$22*(1+VLOOKUP(P$47,TABLAS!$D$3:$R$60,15,FALSE))*P$3,IF(P8&gt;2025,$F$22*1.03*P$3)))))</f>
        <v>0</v>
      </c>
    </row>
    <row r="53" spans="2:16" ht="14" customHeight="1">
      <c r="B53" s="708" t="s">
        <v>20</v>
      </c>
      <c r="C53" s="709"/>
      <c r="D53" s="425">
        <f t="shared" ref="D53:P53" ca="1" si="34">((D49+D50)*D24)*D3</f>
        <v>0</v>
      </c>
      <c r="E53" s="425">
        <f t="shared" ca="1" si="34"/>
        <v>0</v>
      </c>
      <c r="F53" s="425">
        <f t="shared" ca="1" si="34"/>
        <v>0</v>
      </c>
      <c r="G53" s="425">
        <f t="shared" ca="1" si="34"/>
        <v>0</v>
      </c>
      <c r="H53" s="425">
        <f t="shared" ca="1" si="34"/>
        <v>0</v>
      </c>
      <c r="I53" s="425">
        <f t="shared" ca="1" si="34"/>
        <v>0</v>
      </c>
      <c r="J53" s="425">
        <f t="shared" ca="1" si="34"/>
        <v>0</v>
      </c>
      <c r="K53" s="425">
        <f t="shared" ca="1" si="34"/>
        <v>0</v>
      </c>
      <c r="L53" s="425">
        <f t="shared" ca="1" si="34"/>
        <v>0</v>
      </c>
      <c r="M53" s="425">
        <f t="shared" ca="1" si="34"/>
        <v>0</v>
      </c>
      <c r="N53" s="425">
        <f t="shared" ca="1" si="34"/>
        <v>0</v>
      </c>
      <c r="O53" s="425">
        <f t="shared" ca="1" si="34"/>
        <v>0</v>
      </c>
      <c r="P53" s="425">
        <f t="shared" ca="1" si="34"/>
        <v>0</v>
      </c>
    </row>
    <row r="54" spans="2:16" ht="14" customHeight="1">
      <c r="B54" s="708" t="str">
        <f>IF(ISBLANK(B35),"",B35)</f>
        <v>Complemento Absorbible</v>
      </c>
      <c r="C54" s="709"/>
      <c r="D54" s="438">
        <f t="shared" ref="D54:O54" ca="1" si="35">IF(ISBLANK($B$35),0,(IF(AND(YEAR($L$18)=D8,MONTH($L$18)=D7),$I$21,IF(E35&gt;0,IF(E35-D14&gt;0,E35-D14,0),0)))*D3)</f>
        <v>0</v>
      </c>
      <c r="E54" s="438">
        <f t="shared" ca="1" si="35"/>
        <v>0</v>
      </c>
      <c r="F54" s="438">
        <f t="shared" ca="1" si="35"/>
        <v>0</v>
      </c>
      <c r="G54" s="438">
        <f t="shared" ca="1" si="35"/>
        <v>0</v>
      </c>
      <c r="H54" s="438">
        <f t="shared" ca="1" si="35"/>
        <v>0</v>
      </c>
      <c r="I54" s="438">
        <f t="shared" ca="1" si="35"/>
        <v>0</v>
      </c>
      <c r="J54" s="438">
        <f t="shared" ca="1" si="35"/>
        <v>0</v>
      </c>
      <c r="K54" s="438">
        <f t="shared" ca="1" si="35"/>
        <v>0</v>
      </c>
      <c r="L54" s="438">
        <f t="shared" ca="1" si="35"/>
        <v>0</v>
      </c>
      <c r="M54" s="438">
        <f t="shared" ca="1" si="35"/>
        <v>0</v>
      </c>
      <c r="N54" s="438">
        <f t="shared" ca="1" si="35"/>
        <v>0</v>
      </c>
      <c r="O54" s="438">
        <f t="shared" ca="1" si="35"/>
        <v>0</v>
      </c>
      <c r="P54" s="438">
        <f ca="1">(IF(ISBLANK($B$35),0,IF(AND(YEAR($L$18)=P8,MONTH($L$18)=P7),$I$21,0)))*P3</f>
        <v>0</v>
      </c>
    </row>
    <row r="55" spans="2:16" ht="14" customHeight="1">
      <c r="B55" s="708" t="str">
        <f>IF(ISBLANK(B36),"",B36)</f>
        <v>Complemento que sólo absorbe Trienios</v>
      </c>
      <c r="C55" s="709"/>
      <c r="D55" s="438">
        <f t="shared" ref="D55:O55" ca="1" si="36">IF(ISBLANK($B$36),0,(IF(AND(YEAR($L$18)=D8,MONTH($L$18)=D7),$I$22,IF(E55&gt;0,IF(E24=D24,E55,IF(E54&gt;=D11,E55,IF(E54&lt;=D16,IF(E55-D12&lt;0,0,IF(E55-D15&lt;0,0,E55-D15)),IF(E55-(D15-(E54-D16))&lt;0,0,E55-(D15-(E54-D16)))))),0)))*D3)</f>
        <v>0</v>
      </c>
      <c r="E55" s="438">
        <f t="shared" ca="1" si="36"/>
        <v>0</v>
      </c>
      <c r="F55" s="438">
        <f t="shared" ca="1" si="36"/>
        <v>0</v>
      </c>
      <c r="G55" s="438">
        <f t="shared" ca="1" si="36"/>
        <v>0</v>
      </c>
      <c r="H55" s="438">
        <f t="shared" ca="1" si="36"/>
        <v>0</v>
      </c>
      <c r="I55" s="438">
        <f t="shared" ca="1" si="36"/>
        <v>0</v>
      </c>
      <c r="J55" s="438">
        <f t="shared" ca="1" si="36"/>
        <v>0</v>
      </c>
      <c r="K55" s="438">
        <f t="shared" ca="1" si="36"/>
        <v>0</v>
      </c>
      <c r="L55" s="438">
        <f t="shared" ca="1" si="36"/>
        <v>0</v>
      </c>
      <c r="M55" s="438">
        <f t="shared" ca="1" si="36"/>
        <v>0</v>
      </c>
      <c r="N55" s="438">
        <f t="shared" ca="1" si="36"/>
        <v>0</v>
      </c>
      <c r="O55" s="438">
        <f t="shared" ca="1" si="36"/>
        <v>0</v>
      </c>
      <c r="P55" s="438">
        <f ca="1">(IF(ISBLANK($B$36),0,IF(AND(YEAR($L$18)=P8,MONTH($L$18)=P7),$I$22,0)))*P3</f>
        <v>0</v>
      </c>
    </row>
    <row r="56" spans="2:16" ht="14" customHeight="1">
      <c r="B56" s="708" t="str">
        <f>IF(ISBLANK(B37),"",B37)</f>
        <v/>
      </c>
      <c r="C56" s="709"/>
      <c r="D56" s="427">
        <f t="shared" ref="D56:P56" ca="1" si="37">((SUM(D49:D55)*2)/12)*D3</f>
        <v>384.54416355886104</v>
      </c>
      <c r="E56" s="427">
        <f t="shared" ca="1" si="37"/>
        <v>384.54416355886104</v>
      </c>
      <c r="F56" s="427">
        <f t="shared" ca="1" si="37"/>
        <v>384.54416355886104</v>
      </c>
      <c r="G56" s="427">
        <f t="shared" ca="1" si="37"/>
        <v>384.54416355886104</v>
      </c>
      <c r="H56" s="427">
        <f t="shared" ca="1" si="37"/>
        <v>369.75404761904764</v>
      </c>
      <c r="I56" s="427">
        <f t="shared" ca="1" si="37"/>
        <v>369.75404761904764</v>
      </c>
      <c r="J56" s="427">
        <f t="shared" ca="1" si="37"/>
        <v>369.75404761904764</v>
      </c>
      <c r="K56" s="427">
        <f t="shared" ca="1" si="37"/>
        <v>369.75404761904764</v>
      </c>
      <c r="L56" s="427">
        <f t="shared" ca="1" si="37"/>
        <v>369.75404761904764</v>
      </c>
      <c r="M56" s="427">
        <f t="shared" ca="1" si="37"/>
        <v>369.75404761904764</v>
      </c>
      <c r="N56" s="427">
        <f t="shared" ca="1" si="37"/>
        <v>369.75404761904764</v>
      </c>
      <c r="O56" s="427">
        <f t="shared" ca="1" si="37"/>
        <v>369.75404761904764</v>
      </c>
      <c r="P56" s="427">
        <f t="shared" ca="1" si="37"/>
        <v>0</v>
      </c>
    </row>
    <row r="57" spans="2:16" ht="14" customHeight="1">
      <c r="B57" s="708" t="str">
        <f>IF(ISBLANK(B38),"",B38)</f>
        <v>Gastos Teletrabajo</v>
      </c>
      <c r="C57" s="709"/>
      <c r="D57" s="425">
        <f t="shared" ref="D57:P57" ca="1" si="38">IF(ISBLANK($B$38),0,IF(AND(YEAR($L$18)=D8),$L$21*D3,IF(YEAR($L$18)&lt;D8,($L$21*(IF(D8=2025,1.04,1.03))*D3))))</f>
        <v>0</v>
      </c>
      <c r="E57" s="425">
        <f t="shared" ca="1" si="38"/>
        <v>0</v>
      </c>
      <c r="F57" s="425">
        <f t="shared" ca="1" si="38"/>
        <v>0</v>
      </c>
      <c r="G57" s="425">
        <f t="shared" ca="1" si="38"/>
        <v>0</v>
      </c>
      <c r="H57" s="425">
        <f t="shared" ca="1" si="38"/>
        <v>0</v>
      </c>
      <c r="I57" s="425">
        <f t="shared" ca="1" si="38"/>
        <v>0</v>
      </c>
      <c r="J57" s="425">
        <f t="shared" ca="1" si="38"/>
        <v>0</v>
      </c>
      <c r="K57" s="425">
        <f t="shared" ca="1" si="38"/>
        <v>0</v>
      </c>
      <c r="L57" s="425">
        <f t="shared" ca="1" si="38"/>
        <v>0</v>
      </c>
      <c r="M57" s="425">
        <f t="shared" ca="1" si="38"/>
        <v>0</v>
      </c>
      <c r="N57" s="425">
        <f t="shared" ca="1" si="38"/>
        <v>0</v>
      </c>
      <c r="O57" s="425">
        <f t="shared" ca="1" si="38"/>
        <v>0</v>
      </c>
      <c r="P57" s="425">
        <f t="shared" ca="1" si="38"/>
        <v>0</v>
      </c>
    </row>
    <row r="58" spans="2:16" ht="14" customHeight="1">
      <c r="B58" s="708" t="str">
        <f>IF(ISBLANK(B39),"",B39)</f>
        <v>Σ Otros Conceptos</v>
      </c>
      <c r="C58" s="709"/>
      <c r="D58" s="425">
        <f ca="1">$D$39</f>
        <v>0</v>
      </c>
      <c r="E58" s="425">
        <f t="shared" ref="E58:P58" ca="1" si="39">$D$58*E3</f>
        <v>0</v>
      </c>
      <c r="F58" s="425">
        <f t="shared" ca="1" si="39"/>
        <v>0</v>
      </c>
      <c r="G58" s="425">
        <f t="shared" ca="1" si="39"/>
        <v>0</v>
      </c>
      <c r="H58" s="425">
        <f t="shared" ca="1" si="39"/>
        <v>0</v>
      </c>
      <c r="I58" s="425">
        <f t="shared" ca="1" si="39"/>
        <v>0</v>
      </c>
      <c r="J58" s="425">
        <f t="shared" ca="1" si="39"/>
        <v>0</v>
      </c>
      <c r="K58" s="425">
        <f t="shared" ca="1" si="39"/>
        <v>0</v>
      </c>
      <c r="L58" s="425">
        <f t="shared" ca="1" si="39"/>
        <v>0</v>
      </c>
      <c r="M58" s="425">
        <f t="shared" ca="1" si="39"/>
        <v>0</v>
      </c>
      <c r="N58" s="425">
        <f t="shared" ca="1" si="39"/>
        <v>0</v>
      </c>
      <c r="O58" s="425">
        <f t="shared" ca="1" si="39"/>
        <v>0</v>
      </c>
      <c r="P58" s="425">
        <f t="shared" ca="1" si="39"/>
        <v>0</v>
      </c>
    </row>
    <row r="59" spans="2:16" ht="15" customHeight="1">
      <c r="B59" s="535" t="s">
        <v>551</v>
      </c>
      <c r="C59" s="526">
        <f ca="1">SUM(D59:P59)</f>
        <v>31383.7362748177</v>
      </c>
      <c r="D59" s="439">
        <f t="shared" ref="D59:P59" ca="1" si="40">IF(D46=D6,SUM(D49:D58),(((D46*100)/D6)/100)*SUM(D49:D58))</f>
        <v>2602.0821734149595</v>
      </c>
      <c r="E59" s="439">
        <f t="shared" ca="1" si="40"/>
        <v>2691.809144912027</v>
      </c>
      <c r="F59" s="439">
        <f t="shared" ca="1" si="40"/>
        <v>2691.809144912027</v>
      </c>
      <c r="G59" s="439">
        <f t="shared" ca="1" si="40"/>
        <v>2691.809144912027</v>
      </c>
      <c r="H59" s="439">
        <f t="shared" ca="1" si="40"/>
        <v>2588.2783333333332</v>
      </c>
      <c r="I59" s="439">
        <f t="shared" ca="1" si="40"/>
        <v>2588.2783333333332</v>
      </c>
      <c r="J59" s="439">
        <f t="shared" ca="1" si="40"/>
        <v>2588.2783333333332</v>
      </c>
      <c r="K59" s="439">
        <f t="shared" ca="1" si="40"/>
        <v>2588.2783333333332</v>
      </c>
      <c r="L59" s="439">
        <f t="shared" ca="1" si="40"/>
        <v>2588.2783333333332</v>
      </c>
      <c r="M59" s="439">
        <f t="shared" ca="1" si="40"/>
        <v>2588.2783333333332</v>
      </c>
      <c r="N59" s="439">
        <f t="shared" ca="1" si="40"/>
        <v>2588.2783333333332</v>
      </c>
      <c r="O59" s="439">
        <f t="shared" ca="1" si="40"/>
        <v>2588.2783333333332</v>
      </c>
      <c r="P59" s="439">
        <f t="shared" ca="1" si="40"/>
        <v>0</v>
      </c>
    </row>
    <row r="60" spans="2:16" ht="14" customHeight="1">
      <c r="B60" s="518" t="s">
        <v>537</v>
      </c>
      <c r="C60" s="440">
        <f ca="1">SUM(D60:P60)</f>
        <v>26900.345378415186</v>
      </c>
      <c r="D60" s="440">
        <f t="shared" ref="D60:P60" ca="1" si="41">IF(D27=D6,SUM(D49:D55)+SUM(D57:D58),(((D46*100)/D6)/100)*SUM(D49:D55)+SUM(D57:D58))</f>
        <v>2230.3561486413942</v>
      </c>
      <c r="E60" s="440">
        <f t="shared" ca="1" si="41"/>
        <v>2307.2649813531661</v>
      </c>
      <c r="F60" s="440">
        <f t="shared" ca="1" si="41"/>
        <v>2307.2649813531661</v>
      </c>
      <c r="G60" s="440">
        <f t="shared" ca="1" si="41"/>
        <v>2307.2649813531661</v>
      </c>
      <c r="H60" s="440">
        <f t="shared" ca="1" si="41"/>
        <v>2218.5242857142857</v>
      </c>
      <c r="I60" s="440">
        <f t="shared" ca="1" si="41"/>
        <v>2218.5242857142857</v>
      </c>
      <c r="J60" s="440">
        <f t="shared" ca="1" si="41"/>
        <v>2218.5242857142857</v>
      </c>
      <c r="K60" s="440">
        <f t="shared" ca="1" si="41"/>
        <v>2218.5242857142857</v>
      </c>
      <c r="L60" s="440">
        <f t="shared" ca="1" si="41"/>
        <v>2218.5242857142857</v>
      </c>
      <c r="M60" s="440">
        <f t="shared" ca="1" si="41"/>
        <v>2218.5242857142857</v>
      </c>
      <c r="N60" s="440">
        <f t="shared" ca="1" si="41"/>
        <v>2218.5242857142857</v>
      </c>
      <c r="O60" s="440">
        <f t="shared" ca="1" si="41"/>
        <v>2218.5242857142857</v>
      </c>
      <c r="P60" s="440">
        <f t="shared" ca="1" si="41"/>
        <v>0</v>
      </c>
    </row>
    <row r="61" spans="2:16" ht="14" customHeight="1">
      <c r="B61" s="519" t="s">
        <v>538</v>
      </c>
      <c r="C61" s="520">
        <f ca="1">SUM(D61:P61)</f>
        <v>2264.8666106882442</v>
      </c>
      <c r="D61" s="441">
        <f t="shared" ref="D61:P61" ca="1" si="42">IF(D7&lt;7,(((D46*100)/D6)/100)*D56,0)</f>
        <v>371.72602477356565</v>
      </c>
      <c r="E61" s="441">
        <f t="shared" ca="1" si="42"/>
        <v>384.54416355886104</v>
      </c>
      <c r="F61" s="441">
        <f t="shared" ca="1" si="42"/>
        <v>384.54416355886104</v>
      </c>
      <c r="G61" s="441">
        <f t="shared" ca="1" si="42"/>
        <v>384.54416355886104</v>
      </c>
      <c r="H61" s="441">
        <f t="shared" ca="1" si="42"/>
        <v>0</v>
      </c>
      <c r="I61" s="441">
        <f t="shared" ca="1" si="42"/>
        <v>0</v>
      </c>
      <c r="J61" s="441">
        <f t="shared" ca="1" si="42"/>
        <v>0</v>
      </c>
      <c r="K61" s="441">
        <f t="shared" ca="1" si="42"/>
        <v>0</v>
      </c>
      <c r="L61" s="441">
        <f t="shared" ca="1" si="42"/>
        <v>0</v>
      </c>
      <c r="M61" s="441">
        <f t="shared" ca="1" si="42"/>
        <v>0</v>
      </c>
      <c r="N61" s="441">
        <f t="shared" ca="1" si="42"/>
        <v>369.75404761904764</v>
      </c>
      <c r="O61" s="441">
        <f t="shared" ca="1" si="42"/>
        <v>369.75404761904764</v>
      </c>
      <c r="P61" s="441">
        <f t="shared" ca="1" si="42"/>
        <v>0</v>
      </c>
    </row>
    <row r="62" spans="2:16" ht="14" customHeight="1">
      <c r="B62" s="521" t="s">
        <v>539</v>
      </c>
      <c r="C62" s="522">
        <f ca="1">SUM(D62:P62)</f>
        <v>2218.5242857142857</v>
      </c>
      <c r="D62" s="442">
        <f t="shared" ref="D62:P62" ca="1" si="43">IF(D7&gt;6,(((D46*100)/D6)/100)*D56,0)</f>
        <v>0</v>
      </c>
      <c r="E62" s="442">
        <f t="shared" ca="1" si="43"/>
        <v>0</v>
      </c>
      <c r="F62" s="442">
        <f t="shared" ca="1" si="43"/>
        <v>0</v>
      </c>
      <c r="G62" s="442">
        <f t="shared" ca="1" si="43"/>
        <v>0</v>
      </c>
      <c r="H62" s="442">
        <f t="shared" ca="1" si="43"/>
        <v>369.75404761904764</v>
      </c>
      <c r="I62" s="442">
        <f t="shared" ca="1" si="43"/>
        <v>369.75404761904764</v>
      </c>
      <c r="J62" s="442">
        <f t="shared" ca="1" si="43"/>
        <v>369.75404761904764</v>
      </c>
      <c r="K62" s="442">
        <f t="shared" ca="1" si="43"/>
        <v>369.75404761904764</v>
      </c>
      <c r="L62" s="442">
        <f t="shared" ca="1" si="43"/>
        <v>369.75404761904764</v>
      </c>
      <c r="M62" s="442">
        <f t="shared" ca="1" si="43"/>
        <v>369.75404761904764</v>
      </c>
      <c r="N62" s="442">
        <f t="shared" ca="1" si="43"/>
        <v>0</v>
      </c>
      <c r="O62" s="442">
        <f t="shared" ca="1" si="43"/>
        <v>0</v>
      </c>
      <c r="P62" s="442">
        <f t="shared" ca="1" si="43"/>
        <v>0</v>
      </c>
    </row>
    <row r="63" spans="2:16" ht="10" customHeight="1">
      <c r="B63" s="402"/>
      <c r="C63" s="402"/>
    </row>
    <row r="64" spans="2:16" ht="15" customHeight="1">
      <c r="B64" s="717" t="s">
        <v>496</v>
      </c>
      <c r="C64" s="712" t="str">
        <f t="shared" ref="C64:P64" ca="1" si="44">C26</f>
        <v>364 días</v>
      </c>
      <c r="D64" s="443" t="str">
        <f t="shared" ca="1" si="44"/>
        <v>Abril 2025</v>
      </c>
      <c r="E64" s="443" t="str">
        <f t="shared" ca="1" si="44"/>
        <v>Marzo 2025</v>
      </c>
      <c r="F64" s="443" t="str">
        <f t="shared" ca="1" si="44"/>
        <v>Febrero 2025</v>
      </c>
      <c r="G64" s="443" t="str">
        <f t="shared" ca="1" si="44"/>
        <v>Enero 2025</v>
      </c>
      <c r="H64" s="443" t="str">
        <f t="shared" ca="1" si="44"/>
        <v>Diciembre 2024</v>
      </c>
      <c r="I64" s="443" t="str">
        <f t="shared" ca="1" si="44"/>
        <v>Noviembre 2024</v>
      </c>
      <c r="J64" s="443" t="str">
        <f t="shared" ca="1" si="44"/>
        <v>Octubre 2024</v>
      </c>
      <c r="K64" s="443" t="str">
        <f t="shared" ca="1" si="44"/>
        <v>Septiembre 2024</v>
      </c>
      <c r="L64" s="443" t="str">
        <f t="shared" ca="1" si="44"/>
        <v>Agosto 2024</v>
      </c>
      <c r="M64" s="443" t="str">
        <f t="shared" ca="1" si="44"/>
        <v>Julio 2024</v>
      </c>
      <c r="N64" s="443" t="str">
        <f t="shared" ca="1" si="44"/>
        <v>Junio 2024</v>
      </c>
      <c r="O64" s="443" t="str">
        <f t="shared" ca="1" si="44"/>
        <v>Mayo 2024</v>
      </c>
      <c r="P64" s="444" t="str">
        <f t="shared" ca="1" si="44"/>
        <v>Abril 2024</v>
      </c>
    </row>
    <row r="65" spans="2:16" ht="15" customHeight="1">
      <c r="B65" s="718"/>
      <c r="C65" s="713"/>
      <c r="D65" s="626">
        <f t="shared" ref="D65:P65" ca="1" si="45">D27</f>
        <v>29</v>
      </c>
      <c r="E65" s="626">
        <f t="shared" ca="1" si="45"/>
        <v>31</v>
      </c>
      <c r="F65" s="626">
        <f t="shared" ca="1" si="45"/>
        <v>28</v>
      </c>
      <c r="G65" s="626">
        <f t="shared" ca="1" si="45"/>
        <v>31</v>
      </c>
      <c r="H65" s="626">
        <f t="shared" ca="1" si="45"/>
        <v>31</v>
      </c>
      <c r="I65" s="626">
        <f t="shared" ca="1" si="45"/>
        <v>30</v>
      </c>
      <c r="J65" s="626">
        <f t="shared" ca="1" si="45"/>
        <v>31</v>
      </c>
      <c r="K65" s="626">
        <f t="shared" ca="1" si="45"/>
        <v>30</v>
      </c>
      <c r="L65" s="626">
        <f t="shared" ca="1" si="45"/>
        <v>31</v>
      </c>
      <c r="M65" s="626">
        <f t="shared" ca="1" si="45"/>
        <v>31</v>
      </c>
      <c r="N65" s="626">
        <f t="shared" ca="1" si="45"/>
        <v>30</v>
      </c>
      <c r="O65" s="626">
        <f t="shared" ca="1" si="45"/>
        <v>31</v>
      </c>
      <c r="P65" s="445">
        <f t="shared" ca="1" si="45"/>
        <v>1</v>
      </c>
    </row>
    <row r="66" spans="2:16" ht="18.5">
      <c r="B66" s="536" t="s">
        <v>551</v>
      </c>
      <c r="C66" s="527">
        <f ca="1">SUM(D66:P66)</f>
        <v>0</v>
      </c>
      <c r="D66" s="446">
        <f t="shared" ref="D66:P66" ca="1" si="46">D59-D40</f>
        <v>0</v>
      </c>
      <c r="E66" s="446">
        <f t="shared" ca="1" si="46"/>
        <v>0</v>
      </c>
      <c r="F66" s="446">
        <f t="shared" ca="1" si="46"/>
        <v>0</v>
      </c>
      <c r="G66" s="446">
        <f t="shared" ca="1" si="46"/>
        <v>0</v>
      </c>
      <c r="H66" s="446">
        <f t="shared" ca="1" si="46"/>
        <v>0</v>
      </c>
      <c r="I66" s="446">
        <f t="shared" ca="1" si="46"/>
        <v>0</v>
      </c>
      <c r="J66" s="446">
        <f t="shared" ca="1" si="46"/>
        <v>0</v>
      </c>
      <c r="K66" s="446">
        <f t="shared" ca="1" si="46"/>
        <v>0</v>
      </c>
      <c r="L66" s="446">
        <f t="shared" ca="1" si="46"/>
        <v>0</v>
      </c>
      <c r="M66" s="446">
        <f t="shared" ca="1" si="46"/>
        <v>0</v>
      </c>
      <c r="N66" s="446">
        <f t="shared" ca="1" si="46"/>
        <v>0</v>
      </c>
      <c r="O66" s="446">
        <f t="shared" ca="1" si="46"/>
        <v>0</v>
      </c>
      <c r="P66" s="446">
        <f t="shared" ca="1" si="46"/>
        <v>0</v>
      </c>
    </row>
    <row r="67" spans="2:16" ht="14" customHeight="1">
      <c r="B67" s="515" t="s">
        <v>537</v>
      </c>
      <c r="C67" s="523">
        <f ca="1">SUM(D67:P67)</f>
        <v>0</v>
      </c>
      <c r="D67" s="447">
        <f t="shared" ref="D67:P67" ca="1" si="47">D60-D41</f>
        <v>0</v>
      </c>
      <c r="E67" s="447">
        <f t="shared" ca="1" si="47"/>
        <v>0</v>
      </c>
      <c r="F67" s="447">
        <f t="shared" ca="1" si="47"/>
        <v>0</v>
      </c>
      <c r="G67" s="447">
        <f t="shared" ca="1" si="47"/>
        <v>0</v>
      </c>
      <c r="H67" s="447">
        <f t="shared" ca="1" si="47"/>
        <v>0</v>
      </c>
      <c r="I67" s="447">
        <f t="shared" ca="1" si="47"/>
        <v>0</v>
      </c>
      <c r="J67" s="447">
        <f t="shared" ca="1" si="47"/>
        <v>0</v>
      </c>
      <c r="K67" s="447">
        <f t="shared" ca="1" si="47"/>
        <v>0</v>
      </c>
      <c r="L67" s="447">
        <f t="shared" ca="1" si="47"/>
        <v>0</v>
      </c>
      <c r="M67" s="447">
        <f t="shared" ca="1" si="47"/>
        <v>0</v>
      </c>
      <c r="N67" s="447">
        <f t="shared" ca="1" si="47"/>
        <v>0</v>
      </c>
      <c r="O67" s="447">
        <f t="shared" ca="1" si="47"/>
        <v>0</v>
      </c>
      <c r="P67" s="447">
        <f t="shared" ca="1" si="47"/>
        <v>0</v>
      </c>
    </row>
    <row r="68" spans="2:16" ht="14" customHeight="1">
      <c r="B68" s="516" t="s">
        <v>538</v>
      </c>
      <c r="C68" s="524">
        <f ca="1">SUM(D68:P68)</f>
        <v>0</v>
      </c>
      <c r="D68" s="448">
        <f t="shared" ref="D68:P68" ca="1" si="48">D61-D42</f>
        <v>0</v>
      </c>
      <c r="E68" s="448">
        <f t="shared" ca="1" si="48"/>
        <v>0</v>
      </c>
      <c r="F68" s="448">
        <f t="shared" ca="1" si="48"/>
        <v>0</v>
      </c>
      <c r="G68" s="448">
        <f t="shared" ca="1" si="48"/>
        <v>0</v>
      </c>
      <c r="H68" s="448">
        <f t="shared" ca="1" si="48"/>
        <v>0</v>
      </c>
      <c r="I68" s="448">
        <f t="shared" ca="1" si="48"/>
        <v>0</v>
      </c>
      <c r="J68" s="448">
        <f t="shared" ca="1" si="48"/>
        <v>0</v>
      </c>
      <c r="K68" s="448">
        <f t="shared" ca="1" si="48"/>
        <v>0</v>
      </c>
      <c r="L68" s="448">
        <f t="shared" ca="1" si="48"/>
        <v>0</v>
      </c>
      <c r="M68" s="448">
        <f t="shared" ca="1" si="48"/>
        <v>0</v>
      </c>
      <c r="N68" s="448">
        <f t="shared" ca="1" si="48"/>
        <v>0</v>
      </c>
      <c r="O68" s="448">
        <f t="shared" ca="1" si="48"/>
        <v>0</v>
      </c>
      <c r="P68" s="448">
        <f t="shared" ca="1" si="48"/>
        <v>0</v>
      </c>
    </row>
    <row r="69" spans="2:16" ht="14" customHeight="1">
      <c r="B69" s="517" t="s">
        <v>539</v>
      </c>
      <c r="C69" s="525">
        <f ca="1">SUM(D69:P69)</f>
        <v>0</v>
      </c>
      <c r="D69" s="449">
        <f t="shared" ref="D69:P69" ca="1" si="49">D62-D43</f>
        <v>0</v>
      </c>
      <c r="E69" s="449">
        <f t="shared" ca="1" si="49"/>
        <v>0</v>
      </c>
      <c r="F69" s="449">
        <f t="shared" ca="1" si="49"/>
        <v>0</v>
      </c>
      <c r="G69" s="449">
        <f t="shared" ca="1" si="49"/>
        <v>0</v>
      </c>
      <c r="H69" s="449">
        <f t="shared" ca="1" si="49"/>
        <v>0</v>
      </c>
      <c r="I69" s="449">
        <f t="shared" ca="1" si="49"/>
        <v>0</v>
      </c>
      <c r="J69" s="449">
        <f t="shared" ca="1" si="49"/>
        <v>0</v>
      </c>
      <c r="K69" s="449">
        <f t="shared" ca="1" si="49"/>
        <v>0</v>
      </c>
      <c r="L69" s="449">
        <f t="shared" ca="1" si="49"/>
        <v>0</v>
      </c>
      <c r="M69" s="449">
        <f t="shared" ca="1" si="49"/>
        <v>0</v>
      </c>
      <c r="N69" s="449">
        <f t="shared" ca="1" si="49"/>
        <v>0</v>
      </c>
      <c r="O69" s="449">
        <f t="shared" ca="1" si="49"/>
        <v>0</v>
      </c>
      <c r="P69" s="449">
        <f t="shared" ca="1" si="49"/>
        <v>0</v>
      </c>
    </row>
    <row r="70" spans="2:16" ht="15.5">
      <c r="B70" s="450"/>
      <c r="C70" s="451"/>
    </row>
    <row r="71" spans="2:16">
      <c r="B71" s="402"/>
      <c r="C71" s="402"/>
    </row>
    <row r="72" spans="2:16">
      <c r="B72" s="402"/>
      <c r="C72" s="402"/>
    </row>
    <row r="73" spans="2:16">
      <c r="B73" s="402"/>
      <c r="C73" s="402"/>
      <c r="D73" s="452"/>
    </row>
    <row r="74" spans="2:16">
      <c r="B74" s="402"/>
      <c r="C74" s="402"/>
    </row>
    <row r="75" spans="2:16">
      <c r="B75" s="402"/>
      <c r="C75" s="402"/>
    </row>
    <row r="76" spans="2:16">
      <c r="B76" s="402"/>
      <c r="C76" s="402"/>
    </row>
    <row r="77" spans="2:16">
      <c r="B77" s="402"/>
      <c r="C77" s="402"/>
    </row>
    <row r="78" spans="2:16">
      <c r="B78" s="402"/>
      <c r="C78" s="402"/>
    </row>
    <row r="79" spans="2:16">
      <c r="B79" s="402"/>
      <c r="C79" s="402"/>
    </row>
    <row r="80" spans="2:16">
      <c r="B80" s="402"/>
      <c r="C80" s="402"/>
    </row>
  </sheetData>
  <sheetProtection algorithmName="SHA-512" hashValue="d13Cb+gQd4UXdNKnymBs3G/hPkkgF2jbYeZTIZx+dBNSqOjunEJmY7T4t2acPrKJgeLT+vFVl+F4n+UHxMq1Pg==" saltValue="n4HbgXh7LrYbeglXIptYpg==" spinCount="100000" sheet="1" objects="1" scenarios="1" selectLockedCells="1"/>
  <mergeCells count="33">
    <mergeCell ref="B48:C48"/>
    <mergeCell ref="B32:C32"/>
    <mergeCell ref="B33:C33"/>
    <mergeCell ref="B34:C34"/>
    <mergeCell ref="B35:C35"/>
    <mergeCell ref="B36:C36"/>
    <mergeCell ref="B37:C37"/>
    <mergeCell ref="C45:C46"/>
    <mergeCell ref="B38:C38"/>
    <mergeCell ref="B39:C39"/>
    <mergeCell ref="B45:B46"/>
    <mergeCell ref="B31:C31"/>
    <mergeCell ref="B25:C25"/>
    <mergeCell ref="B28:C28"/>
    <mergeCell ref="B29:C29"/>
    <mergeCell ref="B30:C30"/>
    <mergeCell ref="B26:B27"/>
    <mergeCell ref="B54:C54"/>
    <mergeCell ref="B47:C47"/>
    <mergeCell ref="C64:C65"/>
    <mergeCell ref="D17:G17"/>
    <mergeCell ref="C1:H1"/>
    <mergeCell ref="C26:C27"/>
    <mergeCell ref="B55:C55"/>
    <mergeCell ref="B56:C56"/>
    <mergeCell ref="B57:C57"/>
    <mergeCell ref="B58:C58"/>
    <mergeCell ref="B64:B65"/>
    <mergeCell ref="B49:C49"/>
    <mergeCell ref="B50:C50"/>
    <mergeCell ref="B51:C51"/>
    <mergeCell ref="B52:C52"/>
    <mergeCell ref="B53:C53"/>
  </mergeCells>
  <conditionalFormatting sqref="B34:C34">
    <cfRule type="expression" dxfId="76" priority="88">
      <formula>SUM($D$34:$P$34)=0</formula>
    </cfRule>
  </conditionalFormatting>
  <conditionalFormatting sqref="B53:C53">
    <cfRule type="expression" dxfId="74" priority="52">
      <formula>SUM($D$53:$P$53)=0</formula>
    </cfRule>
  </conditionalFormatting>
  <conditionalFormatting sqref="B70:C70">
    <cfRule type="expression" dxfId="72" priority="28">
      <formula>ISBLANK($B$37)</formula>
    </cfRule>
  </conditionalFormatting>
  <conditionalFormatting sqref="B31:P31">
    <cfRule type="expression" dxfId="71" priority="12">
      <formula>ISBLANK($B$31)</formula>
    </cfRule>
  </conditionalFormatting>
  <conditionalFormatting sqref="B33:P33">
    <cfRule type="expression" dxfId="70" priority="78">
      <formula>ISBLANK($B$33)</formula>
    </cfRule>
  </conditionalFormatting>
  <conditionalFormatting sqref="B35:P35">
    <cfRule type="expression" dxfId="69" priority="79">
      <formula>ISBLANK($B$35)</formula>
    </cfRule>
  </conditionalFormatting>
  <conditionalFormatting sqref="B36:P36">
    <cfRule type="expression" dxfId="68" priority="80">
      <formula>ISBLANK($B$36)</formula>
    </cfRule>
  </conditionalFormatting>
  <conditionalFormatting sqref="B38:P38">
    <cfRule type="expression" dxfId="67" priority="82">
      <formula>ISBLANK($B$38)</formula>
    </cfRule>
  </conditionalFormatting>
  <conditionalFormatting sqref="B39:P39">
    <cfRule type="expression" dxfId="66" priority="83">
      <formula>ISBLANK($B$39)</formula>
    </cfRule>
  </conditionalFormatting>
  <conditionalFormatting sqref="B41:P43">
    <cfRule type="expression" dxfId="65" priority="513">
      <formula>NOT(ISBLANK($B$37))</formula>
    </cfRule>
  </conditionalFormatting>
  <conditionalFormatting sqref="B50:P50">
    <cfRule type="expression" dxfId="64" priority="42">
      <formula>ISBLANK($B$31)</formula>
    </cfRule>
  </conditionalFormatting>
  <conditionalFormatting sqref="B52:P52">
    <cfRule type="expression" dxfId="63" priority="51">
      <formula>ISBLANK($B$33)</formula>
    </cfRule>
  </conditionalFormatting>
  <conditionalFormatting sqref="B54:P54">
    <cfRule type="expression" dxfId="62" priority="67">
      <formula>ISBLANK($B$35)</formula>
    </cfRule>
  </conditionalFormatting>
  <conditionalFormatting sqref="B55:P55">
    <cfRule type="expression" dxfId="61" priority="69">
      <formula>ISBLANK($B$36)</formula>
    </cfRule>
  </conditionalFormatting>
  <conditionalFormatting sqref="B57:P57">
    <cfRule type="expression" dxfId="60" priority="50">
      <formula>ISBLANK($B$38)</formula>
    </cfRule>
  </conditionalFormatting>
  <conditionalFormatting sqref="B58:P58">
    <cfRule type="expression" dxfId="59" priority="49">
      <formula>ISBLANK($B$39)</formula>
    </cfRule>
  </conditionalFormatting>
  <conditionalFormatting sqref="B60:P62">
    <cfRule type="expression" dxfId="58" priority="110">
      <formula>NOT(ISBLANK($B$37))</formula>
    </cfRule>
  </conditionalFormatting>
  <conditionalFormatting sqref="B67:P69">
    <cfRule type="expression" dxfId="57" priority="34">
      <formula>NOT(ISBLANK($B$37))</formula>
    </cfRule>
  </conditionalFormatting>
  <conditionalFormatting sqref="C40:P40">
    <cfRule type="expression" dxfId="56" priority="487">
      <formula>AND(NOT(ISBLANK($B$37)),C40=0)</formula>
    </cfRule>
  </conditionalFormatting>
  <conditionalFormatting sqref="C41:P43">
    <cfRule type="expression" dxfId="55" priority="499">
      <formula>AND(ISBLANK($B$37),C41=0)</formula>
    </cfRule>
  </conditionalFormatting>
  <conditionalFormatting sqref="C59:P59">
    <cfRule type="expression" dxfId="54" priority="73">
      <formula>AND(NOT(ISBLANK($B$37)),C59=0)</formula>
    </cfRule>
  </conditionalFormatting>
  <conditionalFormatting sqref="C60:P62">
    <cfRule type="expression" dxfId="53" priority="10">
      <formula>AND(ISBLANK($B$37),C60=0)</formula>
    </cfRule>
  </conditionalFormatting>
  <conditionalFormatting sqref="D23:M23">
    <cfRule type="expression" dxfId="52" priority="584">
      <formula>$D$23&lt;&gt;""</formula>
    </cfRule>
  </conditionalFormatting>
  <conditionalFormatting sqref="D24:O24">
    <cfRule type="expression" dxfId="51" priority="614">
      <formula>AND(D$24&lt;&gt;E$24,D$3=1)</formula>
    </cfRule>
  </conditionalFormatting>
  <conditionalFormatting sqref="D24:O40">
    <cfRule type="expression" dxfId="50" priority="3">
      <formula>AND(YEAR(D$4)&gt;YEAR(E$4),D$3=1)</formula>
    </cfRule>
  </conditionalFormatting>
  <conditionalFormatting sqref="D25:O25">
    <cfRule type="expression" dxfId="49" priority="599">
      <formula>AND(D$25&lt;&gt;E$25,D$3=1)</formula>
    </cfRule>
  </conditionalFormatting>
  <conditionalFormatting sqref="D28:O28">
    <cfRule type="expression" dxfId="48" priority="613">
      <formula>AND(D$28&lt;&gt;E$28,D$3=1)</formula>
    </cfRule>
  </conditionalFormatting>
  <conditionalFormatting sqref="D29:O29">
    <cfRule type="expression" dxfId="47" priority="595">
      <formula>AND(D$29&lt;&gt;E$29,D$3=1)</formula>
    </cfRule>
  </conditionalFormatting>
  <conditionalFormatting sqref="D45:O59">
    <cfRule type="expression" dxfId="46" priority="1">
      <formula>AND(YEAR(D$4)&gt;YEAR(E$4),D$3=1)</formula>
    </cfRule>
  </conditionalFormatting>
  <conditionalFormatting sqref="D47:O47">
    <cfRule type="expression" dxfId="45" priority="620">
      <formula>AND(C$47&lt;&gt;D$47,C$3=1)</formula>
    </cfRule>
  </conditionalFormatting>
  <conditionalFormatting sqref="D48:O48">
    <cfRule type="expression" dxfId="44" priority="615">
      <formula>AND(D$48&lt;&gt;E$48,D$3=1)</formula>
    </cfRule>
  </conditionalFormatting>
  <conditionalFormatting sqref="D24:P43 D45:P62">
    <cfRule type="expression" dxfId="43" priority="4">
      <formula>D$3=0</formula>
    </cfRule>
  </conditionalFormatting>
  <conditionalFormatting sqref="D27:P27">
    <cfRule type="expression" dxfId="42" priority="608">
      <formula>D$27&lt;&gt;D$6</formula>
    </cfRule>
  </conditionalFormatting>
  <conditionalFormatting sqref="D30:P39">
    <cfRule type="cellIs" dxfId="41" priority="7" operator="equal">
      <formula>0</formula>
    </cfRule>
  </conditionalFormatting>
  <conditionalFormatting sqref="D37:P37">
    <cfRule type="expression" dxfId="40" priority="81">
      <formula>ISBLANK($B$37)</formula>
    </cfRule>
  </conditionalFormatting>
  <conditionalFormatting sqref="D40:P40">
    <cfRule type="expression" dxfId="39" priority="609">
      <formula>ISBLANK($B$37)</formula>
    </cfRule>
    <cfRule type="expression" dxfId="38" priority="610">
      <formula>AND(NOT(ISBLANK($B$37)),D$27&lt;&gt;D$6)</formula>
    </cfRule>
  </conditionalFormatting>
  <conditionalFormatting sqref="D41:P43">
    <cfRule type="expression" dxfId="37" priority="611">
      <formula>AND(ISBLANK($B$37),D$6&lt;&gt;D$27,D41=0)</formula>
    </cfRule>
    <cfRule type="expression" dxfId="36" priority="612">
      <formula>AND(ISBLANK($B$37),D$27&lt;&gt;D$6)</formula>
    </cfRule>
  </conditionalFormatting>
  <conditionalFormatting sqref="D46:P46">
    <cfRule type="expression" dxfId="35" priority="616">
      <formula>D$46&lt;&gt;D$6</formula>
    </cfRule>
  </conditionalFormatting>
  <conditionalFormatting sqref="D49:P58">
    <cfRule type="cellIs" dxfId="34" priority="11" operator="equal">
      <formula>0</formula>
    </cfRule>
  </conditionalFormatting>
  <conditionalFormatting sqref="D56:P56">
    <cfRule type="expression" dxfId="33" priority="70">
      <formula>ISBLANK($B$37)</formula>
    </cfRule>
  </conditionalFormatting>
  <conditionalFormatting sqref="D59:P59">
    <cfRule type="expression" dxfId="32" priority="617">
      <formula>AND(NOT(ISBLANK($B$37)),D$46&lt;&gt;D$6)</formula>
    </cfRule>
    <cfRule type="expression" dxfId="31" priority="618">
      <formula>ISBLANK($B$37)</formula>
    </cfRule>
  </conditionalFormatting>
  <conditionalFormatting sqref="D60:P62">
    <cfRule type="expression" dxfId="30" priority="619">
      <formula>AND(ISBLANK($B$37),D$46&lt;&gt;D$6)</formula>
    </cfRule>
  </conditionalFormatting>
  <conditionalFormatting sqref="D64:P69">
    <cfRule type="expression" dxfId="29" priority="30">
      <formula>D$3=0</formula>
    </cfRule>
  </conditionalFormatting>
  <conditionalFormatting sqref="D66:P66">
    <cfRule type="expression" dxfId="28" priority="32">
      <formula>ISBLANK($B$37)</formula>
    </cfRule>
    <cfRule type="expression" dxfId="27" priority="31">
      <formula>AND(NOT(ISBLANK($B$37)),D66=0)</formula>
    </cfRule>
  </conditionalFormatting>
  <conditionalFormatting sqref="D67:P69">
    <cfRule type="expression" dxfId="26" priority="33">
      <formula>AND(ISBLANK($B$37),D67=0)</formula>
    </cfRule>
  </conditionalFormatting>
  <conditionalFormatting sqref="F20">
    <cfRule type="expression" dxfId="25" priority="6">
      <formula>E$10=1</formula>
    </cfRule>
  </conditionalFormatting>
  <conditionalFormatting sqref="I21:I22">
    <cfRule type="cellIs" dxfId="24" priority="29" operator="equal">
      <formula>0</formula>
    </cfRule>
  </conditionalFormatting>
  <dataValidations count="17">
    <dataValidation type="decimal" allowBlank="1" showErrorMessage="1" errorTitle="% JORNADA TRABAJADA" error="Valores permitidos entre 0,5 y 1 ambos inclusive" promptTitle="% JORNADA TRABAJADA" prompt="% De la jornada trabajada_x000a_Jornada máxima = Si trabajas jornada completa 100%_x000a_Jornada mínima = Si trabajas media jornada 50%_x000a_Jornada reducida = Pon el % de jornada que realizas" sqref="D25:P25" xr:uid="{B35440E7-B73B-436A-A75F-D380381A2531}">
      <formula1>0.5</formula1>
      <formula2>1</formula2>
    </dataValidation>
    <dataValidation type="list" allowBlank="1" showInputMessage="1" showErrorMessage="1" sqref="B31:C31" xr:uid="{6D6E2650-ABD5-4CB2-8099-28C67525B911}">
      <formula1>EX_SALARIO_BASE_2022</formula1>
    </dataValidation>
    <dataValidation type="list" showInputMessage="1" showErrorMessage="1" errorTitle="PRORRATA PAGA EXTA" error="Elije una opción del desplegable._x000a_- Si cobras en 14 pagas, selecciona la opción en blanco del desplegable._x000a_- Si cobras en 12 pagas, selecciona la opción de &quot;Prorrata Paga Extra&quot;" sqref="B37:C37" xr:uid="{C0538FBC-EB9F-4A3E-B705-47C4D9312969}">
      <formula1>prorrata</formula1>
    </dataValidation>
    <dataValidation type="list" allowBlank="1" showInputMessage="1" showErrorMessage="1" errorTitle="EX PLUS CONVENIO 2022" error="Si NO tienes este concepto elije la opción en blanco" sqref="B33:C33" xr:uid="{057A3990-DA17-4BE0-99DD-7A914B0D19AA}">
      <formula1>EX_PLUS_CONVENIO_2022</formula1>
    </dataValidation>
    <dataValidation type="list" allowBlank="1" showInputMessage="1" showErrorMessage="1" errorTitle="COMPLEMENT ABSORBIBLE" error="Si NO tienes este concepto selecciona la opción en blanco" sqref="B35:C35" xr:uid="{AFFA68B5-6590-422A-9D5C-344AFDC2BFEB}">
      <formula1>Complemento_Absorbible</formula1>
    </dataValidation>
    <dataValidation type="list" allowBlank="1" showInputMessage="1" showErrorMessage="1" sqref="B36:C36" xr:uid="{A9698DA6-5506-4784-8FD6-6D03B637E211}">
      <formula1>Complemento_absorbe_Antig</formula1>
    </dataValidation>
    <dataValidation showInputMessage="1" showErrorMessage="1" sqref="D48:P48" xr:uid="{EA8BF207-013F-41CC-8D00-0111CAC42AEC}"/>
    <dataValidation type="list" showInputMessage="1" showErrorMessage="1" sqref="D28:P28 D47:P47" xr:uid="{227BC229-7A00-4C71-98A5-57D939486A54}">
      <formula1>INDIRECT(CONCATENATE("cat_",D$8))</formula1>
    </dataValidation>
    <dataValidation type="list" allowBlank="1" showInputMessage="1" showErrorMessage="1" sqref="B38:C38" xr:uid="{7E5A36FE-8926-4E35-82A6-791137C7C90E}">
      <formula1>Gastos_Teletrabajo</formula1>
    </dataValidation>
    <dataValidation type="list" allowBlank="1" showInputMessage="1" showErrorMessage="1" sqref="B39:C39" xr:uid="{F8E15AE5-0885-43B2-BD49-C2F34DB650D6}">
      <formula1>Otros_Conceptos</formula1>
    </dataValidation>
    <dataValidation type="list" allowBlank="1" showInputMessage="1" showErrorMessage="1" sqref="I18" xr:uid="{F7AA901A-C214-41AA-A734-90E97DCFD788}">
      <formula1>"1,2,3,4,5,6,7,8,9,10,11,12"</formula1>
    </dataValidation>
    <dataValidation type="date" allowBlank="1" showInputMessage="1" showErrorMessage="1" sqref="L20" xr:uid="{58058B66-B9FB-4962-9644-5CA6BF53354D}">
      <formula1>TODAY()-16425</formula1>
      <formula2>TODAY()</formula2>
    </dataValidation>
    <dataValidation type="list" allowBlank="1" showInputMessage="1" showErrorMessage="1" sqref="D29:P29" xr:uid="{48FF14E2-9E71-4F09-9053-0E96DD911CF9}">
      <formula1>INDIRECT(CONCATENATE("T_",D$8))</formula1>
    </dataValidation>
    <dataValidation type="date" allowBlank="1" showErrorMessage="1" errorTitle="ATRASOS HASTA (inclusive)" error="Desde 01/01/2025_x000a_Hasta 31/12/2027" promptTitle="ATRASOS HASTA (inclusive)" prompt="Desde 01/01/2025_x000a_Hasta 31/12/2027" sqref="F18:F19" xr:uid="{372507EC-7808-42F8-9665-EB533BFF6E06}">
      <formula1>45658</formula1>
      <formula2>46752</formula2>
    </dataValidation>
    <dataValidation type="decimal" allowBlank="1" showInputMessage="1" showErrorMessage="1" error="Entre 0 y 8.000" sqref="I21:I22" xr:uid="{B5782B9F-D39E-4DCA-97B6-894A1D2E20C5}">
      <formula1>0</formula1>
      <formula2>8000</formula2>
    </dataValidation>
    <dataValidation type="list" allowBlank="1" showInputMessage="1" showErrorMessage="1" sqref="F20" xr:uid="{35A4D3D5-C821-4CCA-8BA5-940E6134E720}">
      <formula1>cat</formula1>
    </dataValidation>
    <dataValidation type="decimal" allowBlank="1" showInputMessage="1" showErrorMessage="1" sqref="I20" xr:uid="{02C0970C-94EE-44EC-9B02-539702498994}">
      <formula1>0.5</formula1>
      <formula2>1</formula2>
    </dataValidation>
  </dataValidations>
  <printOptions horizontalCentered="1" verticalCentered="1"/>
  <pageMargins left="0.23622047244094491" right="0.23622047244094491" top="0.74803149606299213" bottom="0.74803149606299213" header="0.31496062992125984" footer="0.31496062992125984"/>
  <pageSetup paperSize="9" scale="60" fitToHeight="0" orientation="landscape" r:id="rId1"/>
  <ignoredErrors>
    <ignoredError sqref="D28:P28 D47:P47 D29:P29 D48:P48 F20:F22 I20:I22 L20:L22 F18 D25:P25"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9" id="{C635BE18-F268-4DF8-96EB-82C7B22E8B84}">
            <xm:f>$B$37&lt;&gt;LISTAS!$F$2</xm:f>
            <x14:dxf>
              <fill>
                <patternFill>
                  <bgColor theme="0"/>
                </patternFill>
              </fill>
            </x14:dxf>
          </x14:cfRule>
          <xm:sqref>B37:C37</xm:sqref>
        </x14:conditionalFormatting>
        <x14:conditionalFormatting xmlns:xm="http://schemas.microsoft.com/office/excel/2006/main">
          <x14:cfRule type="expression" priority="76" id="{9870CE05-C736-4480-9A71-7AE9CA4AC334}">
            <xm:f>$B$56&lt;&gt;LISTAS!$F$2</xm:f>
            <x14:dxf>
              <fill>
                <patternFill>
                  <bgColor theme="0"/>
                </patternFill>
              </fill>
            </x14:dxf>
          </x14:cfRule>
          <xm:sqref>B56:C56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V41"/>
  <sheetViews>
    <sheetView showGridLines="0" showRowColHeaders="0" workbookViewId="0">
      <pane xSplit="2" ySplit="20" topLeftCell="C21" activePane="bottomRight" state="frozen"/>
      <selection activeCell="D45" sqref="D45"/>
      <selection pane="topRight" activeCell="D45" sqref="D45"/>
      <selection pane="bottomLeft" activeCell="D45" sqref="D45"/>
      <selection pane="bottomRight" activeCell="E5" sqref="E5"/>
    </sheetView>
  </sheetViews>
  <sheetFormatPr baseColWidth="10" defaultRowHeight="15.5"/>
  <cols>
    <col min="1" max="1" width="17.54296875" style="412" customWidth="1"/>
    <col min="2" max="2" width="8.90625" style="412" customWidth="1"/>
    <col min="3" max="3" width="12" style="412" customWidth="1"/>
    <col min="4" max="29" width="12.08984375" style="412" bestFit="1" customWidth="1"/>
    <col min="30" max="16384" width="10.90625" style="412"/>
  </cols>
  <sheetData>
    <row r="1" spans="1:48" ht="15" customHeight="1">
      <c r="B1" s="456"/>
      <c r="C1" s="457"/>
      <c r="D1" s="458"/>
      <c r="J1" s="459"/>
    </row>
    <row r="2" spans="1:48" ht="36.5" customHeight="1">
      <c r="B2" s="456"/>
      <c r="C2" s="460" t="s">
        <v>462</v>
      </c>
      <c r="D2" s="461"/>
      <c r="E2" s="462"/>
      <c r="J2" s="459"/>
    </row>
    <row r="3" spans="1:48" s="463" customFormat="1" ht="15" customHeight="1">
      <c r="C3" s="732" t="str">
        <f ca="1">CONCATENATE("Introduce los datos de tu nómina (una nómina de ",YEAR(TODAY()),")")</f>
        <v>Introduce los datos de tu nómina (una nómina de 2025)</v>
      </c>
      <c r="D3" s="732"/>
      <c r="E3" s="732"/>
      <c r="F3" s="732"/>
      <c r="G3" s="732"/>
      <c r="H3" s="733" t="s">
        <v>518</v>
      </c>
      <c r="I3" s="733"/>
      <c r="J3" s="733"/>
      <c r="K3" s="733"/>
      <c r="L3" s="733"/>
      <c r="N3" s="464"/>
      <c r="O3" s="464"/>
    </row>
    <row r="4" spans="1:48" s="463" customFormat="1" ht="3" customHeight="1">
      <c r="B4" s="465"/>
      <c r="C4" s="466"/>
      <c r="D4" s="467"/>
      <c r="E4" s="468"/>
      <c r="F4" s="468"/>
      <c r="G4" s="468"/>
      <c r="H4" s="468"/>
      <c r="I4" s="468"/>
      <c r="J4" s="468"/>
      <c r="K4" s="468"/>
      <c r="L4" s="468"/>
    </row>
    <row r="5" spans="1:48" ht="15" customHeight="1">
      <c r="B5" s="456"/>
      <c r="D5" s="469" t="s">
        <v>344</v>
      </c>
      <c r="E5" s="453" t="s">
        <v>54</v>
      </c>
      <c r="G5" s="459"/>
      <c r="H5" s="469" t="s">
        <v>501</v>
      </c>
      <c r="I5" s="506">
        <f>'2024_2025'!W12</f>
        <v>1</v>
      </c>
      <c r="J5" s="459"/>
      <c r="K5" s="469" t="s">
        <v>516</v>
      </c>
      <c r="L5" s="507">
        <f ca="1">YEAR('2024_2025'!Y12)</f>
        <v>2023</v>
      </c>
      <c r="N5" s="469"/>
      <c r="O5" s="470"/>
    </row>
    <row r="6" spans="1:48" ht="15" customHeight="1">
      <c r="B6" s="456"/>
      <c r="D6" s="469" t="s">
        <v>428</v>
      </c>
      <c r="E6" s="505">
        <f>'2024_2025'!X20</f>
        <v>103.99998756877747</v>
      </c>
      <c r="H6" s="469" t="s">
        <v>23</v>
      </c>
      <c r="I6" s="505">
        <v>200</v>
      </c>
      <c r="K6" s="469" t="s">
        <v>22</v>
      </c>
      <c r="L6" s="505">
        <v>17</v>
      </c>
      <c r="N6" s="471"/>
      <c r="O6" s="471"/>
    </row>
    <row r="7" spans="1:48" ht="15" customHeight="1">
      <c r="B7" s="456"/>
      <c r="D7" s="469" t="s">
        <v>483</v>
      </c>
      <c r="E7" s="505">
        <f>'2024_2025'!X22</f>
        <v>51.999993784388735</v>
      </c>
      <c r="H7" s="469" t="s">
        <v>517</v>
      </c>
      <c r="I7" s="505">
        <v>150</v>
      </c>
      <c r="K7" s="469" t="s">
        <v>529</v>
      </c>
      <c r="L7" s="505">
        <v>300</v>
      </c>
      <c r="N7" s="471"/>
      <c r="O7" s="471"/>
    </row>
    <row r="8" spans="1:48" ht="3" customHeight="1">
      <c r="B8" s="456"/>
      <c r="C8" s="472"/>
      <c r="D8" s="473"/>
      <c r="E8" s="474"/>
      <c r="F8" s="474"/>
      <c r="G8" s="474"/>
      <c r="H8" s="474"/>
      <c r="I8" s="474"/>
      <c r="J8" s="474"/>
      <c r="K8" s="474"/>
      <c r="L8" s="474"/>
      <c r="N8" s="475"/>
      <c r="O8" s="475"/>
    </row>
    <row r="9" spans="1:48" ht="40" customHeight="1">
      <c r="B9" s="476" t="str">
        <f>'2024_2025'!N2</f>
        <v>Versión 1.5</v>
      </c>
      <c r="C9" s="734" t="s">
        <v>528</v>
      </c>
      <c r="D9" s="734"/>
      <c r="E9" s="734"/>
      <c r="F9" s="734"/>
      <c r="G9" s="734"/>
      <c r="H9" s="734"/>
      <c r="I9" s="734"/>
      <c r="J9" s="734"/>
      <c r="K9" s="734"/>
      <c r="L9" s="734"/>
      <c r="M9" s="734"/>
      <c r="N9" s="734"/>
      <c r="O9" s="734"/>
    </row>
    <row r="10" spans="1:48" ht="40" hidden="1" customHeight="1">
      <c r="B10" s="477" t="s">
        <v>443</v>
      </c>
      <c r="C10" s="478">
        <f ca="1">IF(AND(C11&gt;0,C13&lt;28,C11=D11,D11=E11),1,0)</f>
        <v>0</v>
      </c>
      <c r="D10" s="478">
        <f t="shared" ref="D10:AL10" ca="1" si="0">IF(D11=C11,0,1)</f>
        <v>1</v>
      </c>
      <c r="E10" s="478">
        <f t="shared" ca="1" si="0"/>
        <v>0</v>
      </c>
      <c r="F10" s="478">
        <f t="shared" ca="1" si="0"/>
        <v>0</v>
      </c>
      <c r="G10" s="478">
        <f t="shared" ca="1" si="0"/>
        <v>1</v>
      </c>
      <c r="H10" s="478">
        <f t="shared" ca="1" si="0"/>
        <v>0</v>
      </c>
      <c r="I10" s="478">
        <f t="shared" ca="1" si="0"/>
        <v>0</v>
      </c>
      <c r="J10" s="478">
        <f t="shared" ca="1" si="0"/>
        <v>1</v>
      </c>
      <c r="K10" s="478">
        <f t="shared" ca="1" si="0"/>
        <v>0</v>
      </c>
      <c r="L10" s="478">
        <f t="shared" ca="1" si="0"/>
        <v>0</v>
      </c>
      <c r="M10" s="478">
        <f t="shared" ca="1" si="0"/>
        <v>1</v>
      </c>
      <c r="N10" s="478">
        <f t="shared" ca="1" si="0"/>
        <v>0</v>
      </c>
      <c r="O10" s="478">
        <f t="shared" ca="1" si="0"/>
        <v>0</v>
      </c>
      <c r="P10" s="478">
        <f t="shared" ca="1" si="0"/>
        <v>1</v>
      </c>
      <c r="Q10" s="478">
        <f t="shared" ca="1" si="0"/>
        <v>0</v>
      </c>
      <c r="R10" s="478">
        <f t="shared" ca="1" si="0"/>
        <v>0</v>
      </c>
      <c r="S10" s="478">
        <f t="shared" ca="1" si="0"/>
        <v>1</v>
      </c>
      <c r="T10" s="478">
        <f t="shared" ca="1" si="0"/>
        <v>0</v>
      </c>
      <c r="U10" s="478">
        <f t="shared" ca="1" si="0"/>
        <v>0</v>
      </c>
      <c r="V10" s="478">
        <f t="shared" ca="1" si="0"/>
        <v>1</v>
      </c>
      <c r="W10" s="478">
        <f t="shared" ca="1" si="0"/>
        <v>0</v>
      </c>
      <c r="X10" s="478">
        <f t="shared" ca="1" si="0"/>
        <v>0</v>
      </c>
      <c r="Y10" s="478">
        <f t="shared" ca="1" si="0"/>
        <v>1</v>
      </c>
      <c r="Z10" s="478">
        <f t="shared" ca="1" si="0"/>
        <v>0</v>
      </c>
      <c r="AA10" s="478">
        <f t="shared" ca="1" si="0"/>
        <v>0</v>
      </c>
      <c r="AB10" s="478">
        <f t="shared" ca="1" si="0"/>
        <v>1</v>
      </c>
      <c r="AC10" s="478">
        <f t="shared" ca="1" si="0"/>
        <v>0</v>
      </c>
      <c r="AD10" s="478">
        <f t="shared" ca="1" si="0"/>
        <v>0</v>
      </c>
      <c r="AE10" s="478">
        <f t="shared" ca="1" si="0"/>
        <v>0</v>
      </c>
      <c r="AF10" s="478">
        <f t="shared" ca="1" si="0"/>
        <v>0</v>
      </c>
      <c r="AG10" s="478">
        <f t="shared" ca="1" si="0"/>
        <v>0</v>
      </c>
      <c r="AH10" s="478">
        <f t="shared" ca="1" si="0"/>
        <v>0</v>
      </c>
      <c r="AI10" s="478">
        <f t="shared" ca="1" si="0"/>
        <v>0</v>
      </c>
      <c r="AJ10" s="478">
        <f t="shared" ca="1" si="0"/>
        <v>0</v>
      </c>
      <c r="AK10" s="478">
        <f t="shared" ca="1" si="0"/>
        <v>0</v>
      </c>
      <c r="AL10" s="478">
        <f t="shared" ca="1" si="0"/>
        <v>0</v>
      </c>
      <c r="AM10" s="478">
        <f t="shared" ref="AM10:AR10" ca="1" si="1">IF(AM11=AL11,0,1)</f>
        <v>0</v>
      </c>
      <c r="AN10" s="478">
        <f t="shared" ca="1" si="1"/>
        <v>0</v>
      </c>
      <c r="AO10" s="478">
        <f t="shared" ca="1" si="1"/>
        <v>0</v>
      </c>
      <c r="AP10" s="478">
        <f t="shared" ca="1" si="1"/>
        <v>0</v>
      </c>
      <c r="AQ10" s="478">
        <f t="shared" ca="1" si="1"/>
        <v>0</v>
      </c>
      <c r="AR10" s="478">
        <f t="shared" ca="1" si="1"/>
        <v>0</v>
      </c>
      <c r="AS10" s="478">
        <f ca="1">IF(AS11=AR11,0,1)</f>
        <v>0</v>
      </c>
      <c r="AT10" s="478">
        <f ca="1">IF(AT11=AS11,0,1)</f>
        <v>0</v>
      </c>
      <c r="AU10" s="478">
        <f ca="1">IF(AU11=AT11,0,1)</f>
        <v>0</v>
      </c>
      <c r="AV10" s="478">
        <f ca="1">IF(AV11=AU11,0,1)</f>
        <v>0</v>
      </c>
    </row>
    <row r="11" spans="1:48" ht="40" hidden="1" customHeight="1">
      <c r="B11" s="477" t="s">
        <v>437</v>
      </c>
      <c r="C11" s="479">
        <f t="shared" ref="C11:AL11" ca="1" si="2">IF(C13&lt;3,0,IF(AND(C13&gt;2,C13&lt;6),1,IF(AND(C13&gt;5,C13&lt;9),2,IF(AND(C13&gt;8,C13&lt;12),3,IF(AND(C13&gt;11,C13&lt;15),4,IF(AND(C13&gt;14,C13&lt;18),5,IF(AND(C13&gt;17,C13&lt;21),6,IF(AND(C13&gt;20,C13&lt;24),7,IF(AND(C13&gt;23,C13&lt;27),8,9)))))))))</f>
        <v>0</v>
      </c>
      <c r="D11" s="478">
        <f t="shared" ca="1" si="2"/>
        <v>1</v>
      </c>
      <c r="E11" s="478">
        <f t="shared" ca="1" si="2"/>
        <v>1</v>
      </c>
      <c r="F11" s="478">
        <f t="shared" ca="1" si="2"/>
        <v>1</v>
      </c>
      <c r="G11" s="478">
        <f t="shared" ca="1" si="2"/>
        <v>2</v>
      </c>
      <c r="H11" s="478">
        <f t="shared" ca="1" si="2"/>
        <v>2</v>
      </c>
      <c r="I11" s="478">
        <f t="shared" ca="1" si="2"/>
        <v>2</v>
      </c>
      <c r="J11" s="478">
        <f t="shared" ca="1" si="2"/>
        <v>3</v>
      </c>
      <c r="K11" s="478">
        <f t="shared" ca="1" si="2"/>
        <v>3</v>
      </c>
      <c r="L11" s="478">
        <f t="shared" ca="1" si="2"/>
        <v>3</v>
      </c>
      <c r="M11" s="478">
        <f t="shared" ca="1" si="2"/>
        <v>4</v>
      </c>
      <c r="N11" s="478">
        <f t="shared" ca="1" si="2"/>
        <v>4</v>
      </c>
      <c r="O11" s="478">
        <f t="shared" ca="1" si="2"/>
        <v>4</v>
      </c>
      <c r="P11" s="478">
        <f t="shared" ca="1" si="2"/>
        <v>5</v>
      </c>
      <c r="Q11" s="478">
        <f t="shared" ca="1" si="2"/>
        <v>5</v>
      </c>
      <c r="R11" s="478">
        <f t="shared" ca="1" si="2"/>
        <v>5</v>
      </c>
      <c r="S11" s="478">
        <f t="shared" ca="1" si="2"/>
        <v>6</v>
      </c>
      <c r="T11" s="478">
        <f t="shared" ca="1" si="2"/>
        <v>6</v>
      </c>
      <c r="U11" s="478">
        <f t="shared" ca="1" si="2"/>
        <v>6</v>
      </c>
      <c r="V11" s="478">
        <f t="shared" ca="1" si="2"/>
        <v>7</v>
      </c>
      <c r="W11" s="478">
        <f t="shared" ca="1" si="2"/>
        <v>7</v>
      </c>
      <c r="X11" s="478">
        <f t="shared" ca="1" si="2"/>
        <v>7</v>
      </c>
      <c r="Y11" s="478">
        <f t="shared" ca="1" si="2"/>
        <v>8</v>
      </c>
      <c r="Z11" s="478">
        <f t="shared" ca="1" si="2"/>
        <v>8</v>
      </c>
      <c r="AA11" s="478">
        <f t="shared" ca="1" si="2"/>
        <v>8</v>
      </c>
      <c r="AB11" s="478">
        <f t="shared" ca="1" si="2"/>
        <v>9</v>
      </c>
      <c r="AC11" s="478">
        <f t="shared" ca="1" si="2"/>
        <v>9</v>
      </c>
      <c r="AD11" s="478">
        <f t="shared" ca="1" si="2"/>
        <v>9</v>
      </c>
      <c r="AE11" s="478">
        <f t="shared" ca="1" si="2"/>
        <v>9</v>
      </c>
      <c r="AF11" s="478">
        <f t="shared" ca="1" si="2"/>
        <v>9</v>
      </c>
      <c r="AG11" s="478">
        <f t="shared" ca="1" si="2"/>
        <v>9</v>
      </c>
      <c r="AH11" s="478">
        <f t="shared" ca="1" si="2"/>
        <v>9</v>
      </c>
      <c r="AI11" s="478">
        <f t="shared" ca="1" si="2"/>
        <v>9</v>
      </c>
      <c r="AJ11" s="478">
        <f t="shared" ca="1" si="2"/>
        <v>9</v>
      </c>
      <c r="AK11" s="478">
        <f t="shared" ca="1" si="2"/>
        <v>9</v>
      </c>
      <c r="AL11" s="478">
        <f t="shared" ca="1" si="2"/>
        <v>9</v>
      </c>
      <c r="AM11" s="478">
        <f t="shared" ref="AM11:AR11" ca="1" si="3">IF(AM13&lt;3,0,IF(AND(AM13&gt;2,AM13&lt;6),1,IF(AND(AM13&gt;5,AM13&lt;9),2,IF(AND(AM13&gt;8,AM13&lt;12),3,IF(AND(AM13&gt;11,AM13&lt;15),4,IF(AND(AM13&gt;14,AM13&lt;18),5,IF(AND(AM13&gt;17,AM13&lt;21),6,IF(AND(AM13&gt;20,AM13&lt;24),7,IF(AND(AM13&gt;23,AM13&lt;27),8,9)))))))))</f>
        <v>9</v>
      </c>
      <c r="AN11" s="478">
        <f t="shared" ca="1" si="3"/>
        <v>9</v>
      </c>
      <c r="AO11" s="478">
        <f t="shared" ca="1" si="3"/>
        <v>9</v>
      </c>
      <c r="AP11" s="478">
        <f t="shared" ca="1" si="3"/>
        <v>9</v>
      </c>
      <c r="AQ11" s="478">
        <f t="shared" ca="1" si="3"/>
        <v>9</v>
      </c>
      <c r="AR11" s="478">
        <f t="shared" ca="1" si="3"/>
        <v>9</v>
      </c>
      <c r="AS11" s="478">
        <f ca="1">IF(AS13&lt;3,0,IF(AND(AS13&gt;2,AS13&lt;6),1,IF(AND(AS13&gt;5,AS13&lt;9),2,IF(AND(AS13&gt;8,AS13&lt;12),3,IF(AND(AS13&gt;11,AS13&lt;15),4,IF(AND(AS13&gt;14,AS13&lt;18),5,IF(AND(AS13&gt;17,AS13&lt;21),6,IF(AND(AS13&gt;20,AS13&lt;24),7,IF(AND(AS13&gt;23,AS13&lt;27),8,9)))))))))</f>
        <v>9</v>
      </c>
      <c r="AT11" s="478">
        <f ca="1">IF(AT13&lt;3,0,IF(AND(AT13&gt;2,AT13&lt;6),1,IF(AND(AT13&gt;5,AT13&lt;9),2,IF(AND(AT13&gt;8,AT13&lt;12),3,IF(AND(AT13&gt;11,AT13&lt;15),4,IF(AND(AT13&gt;14,AT13&lt;18),5,IF(AND(AT13&gt;17,AT13&lt;21),6,IF(AND(AT13&gt;20,AT13&lt;24),7,IF(AND(AT13&gt;23,AT13&lt;27),8,9)))))))))</f>
        <v>9</v>
      </c>
      <c r="AU11" s="478">
        <f ca="1">IF(AU13&lt;3,0,IF(AND(AU13&gt;2,AU13&lt;6),1,IF(AND(AU13&gt;5,AU13&lt;9),2,IF(AND(AU13&gt;8,AU13&lt;12),3,IF(AND(AU13&gt;11,AU13&lt;15),4,IF(AND(AU13&gt;14,AU13&lt;18),5,IF(AND(AU13&gt;17,AU13&lt;21),6,IF(AND(AU13&gt;20,AU13&lt;24),7,IF(AND(AU13&gt;23,AU13&lt;27),8,9)))))))))</f>
        <v>9</v>
      </c>
      <c r="AV11" s="478">
        <f ca="1">IF(AV13&lt;3,0,IF(AND(AV13&gt;2,AV13&lt;6),1,IF(AND(AV13&gt;5,AV13&lt;9),2,IF(AND(AV13&gt;8,AV13&lt;12),3,IF(AND(AV13&gt;11,AV13&lt;15),4,IF(AND(AV13&gt;14,AV13&lt;18),5,IF(AND(AV13&gt;17,AV13&lt;21),6,IF(AND(AV13&gt;20,AV13&lt;24),7,IF(AND(AV13&gt;23,AV13&lt;27),8,9)))))))))</f>
        <v>9</v>
      </c>
    </row>
    <row r="12" spans="1:48" s="482" customFormat="1" ht="18" customHeight="1">
      <c r="A12" s="480"/>
      <c r="B12" s="481" t="s">
        <v>436</v>
      </c>
      <c r="C12" s="508">
        <f>$I$5</f>
        <v>1</v>
      </c>
      <c r="D12" s="508">
        <f>C12</f>
        <v>1</v>
      </c>
      <c r="E12" s="508">
        <f t="shared" ref="E12:AC12" si="4">D12</f>
        <v>1</v>
      </c>
      <c r="F12" s="508">
        <f t="shared" si="4"/>
        <v>1</v>
      </c>
      <c r="G12" s="508">
        <f t="shared" si="4"/>
        <v>1</v>
      </c>
      <c r="H12" s="508">
        <f t="shared" si="4"/>
        <v>1</v>
      </c>
      <c r="I12" s="508">
        <f t="shared" si="4"/>
        <v>1</v>
      </c>
      <c r="J12" s="508">
        <f t="shared" si="4"/>
        <v>1</v>
      </c>
      <c r="K12" s="508">
        <f t="shared" si="4"/>
        <v>1</v>
      </c>
      <c r="L12" s="508">
        <f t="shared" si="4"/>
        <v>1</v>
      </c>
      <c r="M12" s="508">
        <f t="shared" si="4"/>
        <v>1</v>
      </c>
      <c r="N12" s="508">
        <f t="shared" si="4"/>
        <v>1</v>
      </c>
      <c r="O12" s="508">
        <f t="shared" si="4"/>
        <v>1</v>
      </c>
      <c r="P12" s="508">
        <f t="shared" si="4"/>
        <v>1</v>
      </c>
      <c r="Q12" s="508">
        <f t="shared" si="4"/>
        <v>1</v>
      </c>
      <c r="R12" s="508">
        <f t="shared" si="4"/>
        <v>1</v>
      </c>
      <c r="S12" s="508">
        <f t="shared" si="4"/>
        <v>1</v>
      </c>
      <c r="T12" s="508">
        <f t="shared" si="4"/>
        <v>1</v>
      </c>
      <c r="U12" s="508">
        <f t="shared" si="4"/>
        <v>1</v>
      </c>
      <c r="V12" s="508">
        <f t="shared" si="4"/>
        <v>1</v>
      </c>
      <c r="W12" s="508">
        <f t="shared" si="4"/>
        <v>1</v>
      </c>
      <c r="X12" s="508">
        <f t="shared" si="4"/>
        <v>1</v>
      </c>
      <c r="Y12" s="508">
        <f t="shared" si="4"/>
        <v>1</v>
      </c>
      <c r="Z12" s="508">
        <f t="shared" si="4"/>
        <v>1</v>
      </c>
      <c r="AA12" s="508">
        <f t="shared" si="4"/>
        <v>1</v>
      </c>
      <c r="AB12" s="508">
        <f t="shared" si="4"/>
        <v>1</v>
      </c>
      <c r="AC12" s="508">
        <f t="shared" si="4"/>
        <v>1</v>
      </c>
      <c r="AD12" s="508">
        <f t="shared" ref="AD12:AV12" si="5">AC12</f>
        <v>1</v>
      </c>
      <c r="AE12" s="508">
        <f t="shared" si="5"/>
        <v>1</v>
      </c>
      <c r="AF12" s="508">
        <f t="shared" si="5"/>
        <v>1</v>
      </c>
      <c r="AG12" s="508">
        <f t="shared" si="5"/>
        <v>1</v>
      </c>
      <c r="AH12" s="508">
        <f t="shared" si="5"/>
        <v>1</v>
      </c>
      <c r="AI12" s="508">
        <f t="shared" si="5"/>
        <v>1</v>
      </c>
      <c r="AJ12" s="508">
        <f t="shared" si="5"/>
        <v>1</v>
      </c>
      <c r="AK12" s="508">
        <f t="shared" si="5"/>
        <v>1</v>
      </c>
      <c r="AL12" s="508">
        <f t="shared" si="5"/>
        <v>1</v>
      </c>
      <c r="AM12" s="508">
        <f t="shared" si="5"/>
        <v>1</v>
      </c>
      <c r="AN12" s="508">
        <f t="shared" si="5"/>
        <v>1</v>
      </c>
      <c r="AO12" s="508">
        <f t="shared" si="5"/>
        <v>1</v>
      </c>
      <c r="AP12" s="508">
        <f t="shared" si="5"/>
        <v>1</v>
      </c>
      <c r="AQ12" s="508">
        <f t="shared" si="5"/>
        <v>1</v>
      </c>
      <c r="AR12" s="508">
        <f t="shared" si="5"/>
        <v>1</v>
      </c>
      <c r="AS12" s="508">
        <f t="shared" si="5"/>
        <v>1</v>
      </c>
      <c r="AT12" s="508">
        <f t="shared" si="5"/>
        <v>1</v>
      </c>
      <c r="AU12" s="508">
        <f t="shared" si="5"/>
        <v>1</v>
      </c>
      <c r="AV12" s="508">
        <f t="shared" si="5"/>
        <v>1</v>
      </c>
    </row>
    <row r="13" spans="1:48" s="482" customFormat="1">
      <c r="A13" s="483"/>
      <c r="B13" s="481" t="s">
        <v>439</v>
      </c>
      <c r="C13" s="484">
        <f ca="1">IF(C15-L5&gt;0,C15-L5,0)</f>
        <v>2</v>
      </c>
      <c r="D13" s="484">
        <f ca="1">C13+1</f>
        <v>3</v>
      </c>
      <c r="E13" s="484">
        <f ca="1">D13+1</f>
        <v>4</v>
      </c>
      <c r="F13" s="484">
        <f t="shared" ref="F13:AC13" ca="1" si="6">E13+1</f>
        <v>5</v>
      </c>
      <c r="G13" s="484">
        <f t="shared" ca="1" si="6"/>
        <v>6</v>
      </c>
      <c r="H13" s="484">
        <f t="shared" ca="1" si="6"/>
        <v>7</v>
      </c>
      <c r="I13" s="484">
        <f t="shared" ca="1" si="6"/>
        <v>8</v>
      </c>
      <c r="J13" s="484">
        <f t="shared" ca="1" si="6"/>
        <v>9</v>
      </c>
      <c r="K13" s="484">
        <f t="shared" ca="1" si="6"/>
        <v>10</v>
      </c>
      <c r="L13" s="484">
        <f t="shared" ca="1" si="6"/>
        <v>11</v>
      </c>
      <c r="M13" s="484">
        <f t="shared" ca="1" si="6"/>
        <v>12</v>
      </c>
      <c r="N13" s="484">
        <f t="shared" ca="1" si="6"/>
        <v>13</v>
      </c>
      <c r="O13" s="484">
        <f t="shared" ca="1" si="6"/>
        <v>14</v>
      </c>
      <c r="P13" s="484">
        <f t="shared" ca="1" si="6"/>
        <v>15</v>
      </c>
      <c r="Q13" s="484">
        <f t="shared" ca="1" si="6"/>
        <v>16</v>
      </c>
      <c r="R13" s="484">
        <f t="shared" ca="1" si="6"/>
        <v>17</v>
      </c>
      <c r="S13" s="484">
        <f t="shared" ca="1" si="6"/>
        <v>18</v>
      </c>
      <c r="T13" s="484">
        <f t="shared" ca="1" si="6"/>
        <v>19</v>
      </c>
      <c r="U13" s="484">
        <f t="shared" ca="1" si="6"/>
        <v>20</v>
      </c>
      <c r="V13" s="484">
        <f t="shared" ca="1" si="6"/>
        <v>21</v>
      </c>
      <c r="W13" s="484">
        <f t="shared" ca="1" si="6"/>
        <v>22</v>
      </c>
      <c r="X13" s="484">
        <f t="shared" ca="1" si="6"/>
        <v>23</v>
      </c>
      <c r="Y13" s="484">
        <f t="shared" ca="1" si="6"/>
        <v>24</v>
      </c>
      <c r="Z13" s="484">
        <f t="shared" ca="1" si="6"/>
        <v>25</v>
      </c>
      <c r="AA13" s="484">
        <f t="shared" ca="1" si="6"/>
        <v>26</v>
      </c>
      <c r="AB13" s="484">
        <f t="shared" ca="1" si="6"/>
        <v>27</v>
      </c>
      <c r="AC13" s="484">
        <f t="shared" ca="1" si="6"/>
        <v>28</v>
      </c>
      <c r="AD13" s="484">
        <f t="shared" ref="AD13:AV13" ca="1" si="7">AC13+1</f>
        <v>29</v>
      </c>
      <c r="AE13" s="484">
        <f t="shared" ca="1" si="7"/>
        <v>30</v>
      </c>
      <c r="AF13" s="484">
        <f t="shared" ca="1" si="7"/>
        <v>31</v>
      </c>
      <c r="AG13" s="484">
        <f t="shared" ca="1" si="7"/>
        <v>32</v>
      </c>
      <c r="AH13" s="484">
        <f t="shared" ca="1" si="7"/>
        <v>33</v>
      </c>
      <c r="AI13" s="484">
        <f t="shared" ca="1" si="7"/>
        <v>34</v>
      </c>
      <c r="AJ13" s="484">
        <f t="shared" ca="1" si="7"/>
        <v>35</v>
      </c>
      <c r="AK13" s="484">
        <f t="shared" ca="1" si="7"/>
        <v>36</v>
      </c>
      <c r="AL13" s="484">
        <f t="shared" ca="1" si="7"/>
        <v>37</v>
      </c>
      <c r="AM13" s="484">
        <f t="shared" ca="1" si="7"/>
        <v>38</v>
      </c>
      <c r="AN13" s="484">
        <f t="shared" ca="1" si="7"/>
        <v>39</v>
      </c>
      <c r="AO13" s="484">
        <f t="shared" ca="1" si="7"/>
        <v>40</v>
      </c>
      <c r="AP13" s="484">
        <f t="shared" ca="1" si="7"/>
        <v>41</v>
      </c>
      <c r="AQ13" s="484">
        <f t="shared" ca="1" si="7"/>
        <v>42</v>
      </c>
      <c r="AR13" s="484">
        <f t="shared" ca="1" si="7"/>
        <v>43</v>
      </c>
      <c r="AS13" s="484">
        <f t="shared" ca="1" si="7"/>
        <v>44</v>
      </c>
      <c r="AT13" s="484">
        <f t="shared" ca="1" si="7"/>
        <v>45</v>
      </c>
      <c r="AU13" s="484">
        <f t="shared" ca="1" si="7"/>
        <v>46</v>
      </c>
      <c r="AV13" s="484">
        <f t="shared" ca="1" si="7"/>
        <v>47</v>
      </c>
    </row>
    <row r="14" spans="1:48">
      <c r="A14" s="485"/>
      <c r="B14" s="477" t="s">
        <v>438</v>
      </c>
      <c r="C14" s="486">
        <f t="shared" ref="C14:AL14" ca="1" si="8">IF(C11=0,0,IF(C11=1,0.05,IF(C11=2,0.1,IF(C11=3,0.15,IF(C11=4,0.2,IF(C11=5,0.25,IF(C11=6,0.35,IF(C11=7,0.45,IF(C11=8,0.55,0.6)))))))))</f>
        <v>0</v>
      </c>
      <c r="D14" s="486">
        <f t="shared" ca="1" si="8"/>
        <v>0.05</v>
      </c>
      <c r="E14" s="486">
        <f t="shared" ca="1" si="8"/>
        <v>0.05</v>
      </c>
      <c r="F14" s="486">
        <f t="shared" ca="1" si="8"/>
        <v>0.05</v>
      </c>
      <c r="G14" s="486">
        <f t="shared" ca="1" si="8"/>
        <v>0.1</v>
      </c>
      <c r="H14" s="486">
        <f t="shared" ca="1" si="8"/>
        <v>0.1</v>
      </c>
      <c r="I14" s="486">
        <f t="shared" ca="1" si="8"/>
        <v>0.1</v>
      </c>
      <c r="J14" s="486">
        <f t="shared" ca="1" si="8"/>
        <v>0.15</v>
      </c>
      <c r="K14" s="486">
        <f t="shared" ca="1" si="8"/>
        <v>0.15</v>
      </c>
      <c r="L14" s="486">
        <f t="shared" ca="1" si="8"/>
        <v>0.15</v>
      </c>
      <c r="M14" s="486">
        <f t="shared" ca="1" si="8"/>
        <v>0.2</v>
      </c>
      <c r="N14" s="486">
        <f t="shared" ca="1" si="8"/>
        <v>0.2</v>
      </c>
      <c r="O14" s="486">
        <f t="shared" ca="1" si="8"/>
        <v>0.2</v>
      </c>
      <c r="P14" s="486">
        <f t="shared" ca="1" si="8"/>
        <v>0.25</v>
      </c>
      <c r="Q14" s="486">
        <f t="shared" ca="1" si="8"/>
        <v>0.25</v>
      </c>
      <c r="R14" s="486">
        <f t="shared" ca="1" si="8"/>
        <v>0.25</v>
      </c>
      <c r="S14" s="486">
        <f t="shared" ca="1" si="8"/>
        <v>0.35</v>
      </c>
      <c r="T14" s="486">
        <f t="shared" ca="1" si="8"/>
        <v>0.35</v>
      </c>
      <c r="U14" s="486">
        <f t="shared" ca="1" si="8"/>
        <v>0.35</v>
      </c>
      <c r="V14" s="486">
        <f t="shared" ca="1" si="8"/>
        <v>0.45</v>
      </c>
      <c r="W14" s="486">
        <f t="shared" ca="1" si="8"/>
        <v>0.45</v>
      </c>
      <c r="X14" s="486">
        <f t="shared" ca="1" si="8"/>
        <v>0.45</v>
      </c>
      <c r="Y14" s="486">
        <f t="shared" ca="1" si="8"/>
        <v>0.55000000000000004</v>
      </c>
      <c r="Z14" s="486">
        <f t="shared" ca="1" si="8"/>
        <v>0.55000000000000004</v>
      </c>
      <c r="AA14" s="486">
        <f t="shared" ca="1" si="8"/>
        <v>0.55000000000000004</v>
      </c>
      <c r="AB14" s="486">
        <f t="shared" ca="1" si="8"/>
        <v>0.6</v>
      </c>
      <c r="AC14" s="486">
        <f t="shared" ca="1" si="8"/>
        <v>0.6</v>
      </c>
      <c r="AD14" s="486">
        <f t="shared" ca="1" si="8"/>
        <v>0.6</v>
      </c>
      <c r="AE14" s="486">
        <f t="shared" ca="1" si="8"/>
        <v>0.6</v>
      </c>
      <c r="AF14" s="486">
        <f t="shared" ca="1" si="8"/>
        <v>0.6</v>
      </c>
      <c r="AG14" s="486">
        <f t="shared" ca="1" si="8"/>
        <v>0.6</v>
      </c>
      <c r="AH14" s="486">
        <f t="shared" ca="1" si="8"/>
        <v>0.6</v>
      </c>
      <c r="AI14" s="486">
        <f t="shared" ca="1" si="8"/>
        <v>0.6</v>
      </c>
      <c r="AJ14" s="486">
        <f t="shared" ca="1" si="8"/>
        <v>0.6</v>
      </c>
      <c r="AK14" s="486">
        <f t="shared" ca="1" si="8"/>
        <v>0.6</v>
      </c>
      <c r="AL14" s="486">
        <f t="shared" ca="1" si="8"/>
        <v>0.6</v>
      </c>
      <c r="AM14" s="486">
        <f t="shared" ref="AM14:AR14" ca="1" si="9">IF(AM11=0,0,IF(AM11=1,0.05,IF(AM11=2,0.1,IF(AM11=3,0.15,IF(AM11=4,0.2,IF(AM11=5,0.25,IF(AM11=6,0.35,IF(AM11=7,0.45,IF(AM11=8,0.55,0.6)))))))))</f>
        <v>0.6</v>
      </c>
      <c r="AN14" s="486">
        <f t="shared" ca="1" si="9"/>
        <v>0.6</v>
      </c>
      <c r="AO14" s="486">
        <f t="shared" ca="1" si="9"/>
        <v>0.6</v>
      </c>
      <c r="AP14" s="486">
        <f t="shared" ca="1" si="9"/>
        <v>0.6</v>
      </c>
      <c r="AQ14" s="486">
        <f t="shared" ca="1" si="9"/>
        <v>0.6</v>
      </c>
      <c r="AR14" s="486">
        <f t="shared" ca="1" si="9"/>
        <v>0.6</v>
      </c>
      <c r="AS14" s="486">
        <f ca="1">IF(AS11=0,0,IF(AS11=1,0.05,IF(AS11=2,0.1,IF(AS11=3,0.15,IF(AS11=4,0.2,IF(AS11=5,0.25,IF(AS11=6,0.35,IF(AS11=7,0.45,IF(AS11=8,0.55,0.6)))))))))</f>
        <v>0.6</v>
      </c>
      <c r="AT14" s="486">
        <f ca="1">IF(AT11=0,0,IF(AT11=1,0.05,IF(AT11=2,0.1,IF(AT11=3,0.15,IF(AT11=4,0.2,IF(AT11=5,0.25,IF(AT11=6,0.35,IF(AT11=7,0.45,IF(AT11=8,0.55,0.6)))))))))</f>
        <v>0.6</v>
      </c>
      <c r="AU14" s="486">
        <f ca="1">IF(AU11=0,0,IF(AU11=1,0.05,IF(AU11=2,0.1,IF(AU11=3,0.15,IF(AU11=4,0.2,IF(AU11=5,0.25,IF(AU11=6,0.35,IF(AU11=7,0.45,IF(AU11=8,0.55,0.6)))))))))</f>
        <v>0.6</v>
      </c>
      <c r="AV14" s="486">
        <f ca="1">IF(AV11=0,0,IF(AV11=1,0.05,IF(AV11=2,0.1,IF(AV11=3,0.15,IF(AV11=4,0.2,IF(AV11=5,0.25,IF(AV11=6,0.35,IF(AV11=7,0.45,IF(AV11=8,0.55,0.6)))))))))</f>
        <v>0.6</v>
      </c>
    </row>
    <row r="15" spans="1:48" s="487" customFormat="1" ht="18.5">
      <c r="B15" s="477" t="s">
        <v>442</v>
      </c>
      <c r="C15" s="488">
        <f ca="1">YEAR(TODAY())</f>
        <v>2025</v>
      </c>
      <c r="D15" s="488">
        <f ca="1">C15+1</f>
        <v>2026</v>
      </c>
      <c r="E15" s="488">
        <f ca="1">D15+1</f>
        <v>2027</v>
      </c>
      <c r="F15" s="488">
        <f t="shared" ref="F15:AC15" ca="1" si="10">E15+1</f>
        <v>2028</v>
      </c>
      <c r="G15" s="488">
        <f t="shared" ca="1" si="10"/>
        <v>2029</v>
      </c>
      <c r="H15" s="488">
        <f t="shared" ca="1" si="10"/>
        <v>2030</v>
      </c>
      <c r="I15" s="488">
        <f t="shared" ca="1" si="10"/>
        <v>2031</v>
      </c>
      <c r="J15" s="488">
        <f t="shared" ca="1" si="10"/>
        <v>2032</v>
      </c>
      <c r="K15" s="488">
        <f t="shared" ca="1" si="10"/>
        <v>2033</v>
      </c>
      <c r="L15" s="488">
        <f t="shared" ca="1" si="10"/>
        <v>2034</v>
      </c>
      <c r="M15" s="488">
        <f ca="1">L15+1</f>
        <v>2035</v>
      </c>
      <c r="N15" s="488">
        <f t="shared" ca="1" si="10"/>
        <v>2036</v>
      </c>
      <c r="O15" s="488">
        <f t="shared" ca="1" si="10"/>
        <v>2037</v>
      </c>
      <c r="P15" s="488">
        <f t="shared" ca="1" si="10"/>
        <v>2038</v>
      </c>
      <c r="Q15" s="488">
        <f t="shared" ca="1" si="10"/>
        <v>2039</v>
      </c>
      <c r="R15" s="488">
        <f t="shared" ca="1" si="10"/>
        <v>2040</v>
      </c>
      <c r="S15" s="488">
        <f t="shared" ca="1" si="10"/>
        <v>2041</v>
      </c>
      <c r="T15" s="488">
        <f t="shared" ca="1" si="10"/>
        <v>2042</v>
      </c>
      <c r="U15" s="488">
        <f t="shared" ca="1" si="10"/>
        <v>2043</v>
      </c>
      <c r="V15" s="488">
        <f t="shared" ca="1" si="10"/>
        <v>2044</v>
      </c>
      <c r="W15" s="488">
        <f t="shared" ca="1" si="10"/>
        <v>2045</v>
      </c>
      <c r="X15" s="488">
        <f t="shared" ca="1" si="10"/>
        <v>2046</v>
      </c>
      <c r="Y15" s="488">
        <f t="shared" ca="1" si="10"/>
        <v>2047</v>
      </c>
      <c r="Z15" s="488">
        <f t="shared" ca="1" si="10"/>
        <v>2048</v>
      </c>
      <c r="AA15" s="488">
        <f t="shared" ca="1" si="10"/>
        <v>2049</v>
      </c>
      <c r="AB15" s="488">
        <f t="shared" ca="1" si="10"/>
        <v>2050</v>
      </c>
      <c r="AC15" s="488">
        <f t="shared" ca="1" si="10"/>
        <v>2051</v>
      </c>
      <c r="AD15" s="488">
        <f t="shared" ref="AD15:AV15" ca="1" si="11">AC15+1</f>
        <v>2052</v>
      </c>
      <c r="AE15" s="488">
        <f t="shared" ca="1" si="11"/>
        <v>2053</v>
      </c>
      <c r="AF15" s="488">
        <f t="shared" ca="1" si="11"/>
        <v>2054</v>
      </c>
      <c r="AG15" s="488">
        <f t="shared" ca="1" si="11"/>
        <v>2055</v>
      </c>
      <c r="AH15" s="488">
        <f t="shared" ca="1" si="11"/>
        <v>2056</v>
      </c>
      <c r="AI15" s="488">
        <f t="shared" ca="1" si="11"/>
        <v>2057</v>
      </c>
      <c r="AJ15" s="488">
        <f t="shared" ca="1" si="11"/>
        <v>2058</v>
      </c>
      <c r="AK15" s="488">
        <f t="shared" ca="1" si="11"/>
        <v>2059</v>
      </c>
      <c r="AL15" s="488">
        <f t="shared" ca="1" si="11"/>
        <v>2060</v>
      </c>
      <c r="AM15" s="488">
        <f t="shared" ca="1" si="11"/>
        <v>2061</v>
      </c>
      <c r="AN15" s="488">
        <f t="shared" ca="1" si="11"/>
        <v>2062</v>
      </c>
      <c r="AO15" s="488">
        <f t="shared" ca="1" si="11"/>
        <v>2063</v>
      </c>
      <c r="AP15" s="488">
        <f t="shared" ca="1" si="11"/>
        <v>2064</v>
      </c>
      <c r="AQ15" s="488">
        <f t="shared" ca="1" si="11"/>
        <v>2065</v>
      </c>
      <c r="AR15" s="488">
        <f t="shared" ca="1" si="11"/>
        <v>2066</v>
      </c>
      <c r="AS15" s="488">
        <f t="shared" ca="1" si="11"/>
        <v>2067</v>
      </c>
      <c r="AT15" s="488">
        <f t="shared" ca="1" si="11"/>
        <v>2068</v>
      </c>
      <c r="AU15" s="488">
        <f t="shared" ca="1" si="11"/>
        <v>2069</v>
      </c>
      <c r="AV15" s="488">
        <f t="shared" ca="1" si="11"/>
        <v>2070</v>
      </c>
    </row>
    <row r="16" spans="1:48" s="491" customFormat="1">
      <c r="A16" s="489"/>
      <c r="B16" s="490" t="s">
        <v>344</v>
      </c>
      <c r="C16" s="509" t="str">
        <f>$E$5</f>
        <v>2.E.2</v>
      </c>
      <c r="D16" s="509" t="str">
        <f>C16</f>
        <v>2.E.2</v>
      </c>
      <c r="E16" s="509" t="str">
        <f t="shared" ref="E16:AC16" si="12">D16</f>
        <v>2.E.2</v>
      </c>
      <c r="F16" s="509" t="str">
        <f>E16</f>
        <v>2.E.2</v>
      </c>
      <c r="G16" s="509" t="str">
        <f>F16</f>
        <v>2.E.2</v>
      </c>
      <c r="H16" s="509" t="str">
        <f t="shared" si="12"/>
        <v>2.E.2</v>
      </c>
      <c r="I16" s="509" t="str">
        <f>H16</f>
        <v>2.E.2</v>
      </c>
      <c r="J16" s="509" t="str">
        <f>I16</f>
        <v>2.E.2</v>
      </c>
      <c r="K16" s="509" t="str">
        <f>J16</f>
        <v>2.E.2</v>
      </c>
      <c r="L16" s="509" t="str">
        <f>K16</f>
        <v>2.E.2</v>
      </c>
      <c r="M16" s="509" t="str">
        <f t="shared" si="12"/>
        <v>2.E.2</v>
      </c>
      <c r="N16" s="509" t="str">
        <f t="shared" si="12"/>
        <v>2.E.2</v>
      </c>
      <c r="O16" s="509" t="str">
        <f t="shared" si="12"/>
        <v>2.E.2</v>
      </c>
      <c r="P16" s="509" t="str">
        <f t="shared" si="12"/>
        <v>2.E.2</v>
      </c>
      <c r="Q16" s="509" t="str">
        <f t="shared" si="12"/>
        <v>2.E.2</v>
      </c>
      <c r="R16" s="509" t="str">
        <f t="shared" si="12"/>
        <v>2.E.2</v>
      </c>
      <c r="S16" s="509" t="str">
        <f t="shared" si="12"/>
        <v>2.E.2</v>
      </c>
      <c r="T16" s="509" t="str">
        <f t="shared" si="12"/>
        <v>2.E.2</v>
      </c>
      <c r="U16" s="509" t="str">
        <f t="shared" si="12"/>
        <v>2.E.2</v>
      </c>
      <c r="V16" s="509" t="str">
        <f t="shared" si="12"/>
        <v>2.E.2</v>
      </c>
      <c r="W16" s="509" t="str">
        <f t="shared" si="12"/>
        <v>2.E.2</v>
      </c>
      <c r="X16" s="509" t="str">
        <f t="shared" si="12"/>
        <v>2.E.2</v>
      </c>
      <c r="Y16" s="509" t="str">
        <f t="shared" si="12"/>
        <v>2.E.2</v>
      </c>
      <c r="Z16" s="509" t="str">
        <f t="shared" si="12"/>
        <v>2.E.2</v>
      </c>
      <c r="AA16" s="509" t="str">
        <f t="shared" si="12"/>
        <v>2.E.2</v>
      </c>
      <c r="AB16" s="509" t="str">
        <f t="shared" si="12"/>
        <v>2.E.2</v>
      </c>
      <c r="AC16" s="509" t="str">
        <f t="shared" si="12"/>
        <v>2.E.2</v>
      </c>
      <c r="AD16" s="509" t="str">
        <f>AC16</f>
        <v>2.E.2</v>
      </c>
      <c r="AE16" s="509" t="str">
        <f>AD16</f>
        <v>2.E.2</v>
      </c>
      <c r="AF16" s="509" t="str">
        <f>AE16</f>
        <v>2.E.2</v>
      </c>
      <c r="AG16" s="509" t="str">
        <f>AF16</f>
        <v>2.E.2</v>
      </c>
      <c r="AH16" s="509" t="str">
        <f>AG16</f>
        <v>2.E.2</v>
      </c>
      <c r="AI16" s="509" t="str">
        <f t="shared" ref="AI16:AV16" si="13">AH16</f>
        <v>2.E.2</v>
      </c>
      <c r="AJ16" s="509" t="str">
        <f t="shared" si="13"/>
        <v>2.E.2</v>
      </c>
      <c r="AK16" s="509" t="str">
        <f t="shared" si="13"/>
        <v>2.E.2</v>
      </c>
      <c r="AL16" s="509" t="str">
        <f t="shared" si="13"/>
        <v>2.E.2</v>
      </c>
      <c r="AM16" s="509" t="str">
        <f t="shared" si="13"/>
        <v>2.E.2</v>
      </c>
      <c r="AN16" s="509" t="str">
        <f t="shared" si="13"/>
        <v>2.E.2</v>
      </c>
      <c r="AO16" s="509" t="str">
        <f t="shared" si="13"/>
        <v>2.E.2</v>
      </c>
      <c r="AP16" s="509" t="str">
        <f t="shared" si="13"/>
        <v>2.E.2</v>
      </c>
      <c r="AQ16" s="509" t="str">
        <f t="shared" si="13"/>
        <v>2.E.2</v>
      </c>
      <c r="AR16" s="509" t="str">
        <f t="shared" si="13"/>
        <v>2.E.2</v>
      </c>
      <c r="AS16" s="509" t="str">
        <f t="shared" si="13"/>
        <v>2.E.2</v>
      </c>
      <c r="AT16" s="509" t="str">
        <f t="shared" si="13"/>
        <v>2.E.2</v>
      </c>
      <c r="AU16" s="509" t="str">
        <f t="shared" si="13"/>
        <v>2.E.2</v>
      </c>
      <c r="AV16" s="509" t="str">
        <f t="shared" si="13"/>
        <v>2.E.2</v>
      </c>
    </row>
    <row r="17" spans="1:48" s="491" customFormat="1" hidden="1">
      <c r="B17" s="492" t="s">
        <v>489</v>
      </c>
      <c r="C17" s="510">
        <v>0</v>
      </c>
      <c r="D17" s="510">
        <f t="shared" ref="D17:AV17" ca="1" si="14">IF((D24-C24)+(D25-C25)+(D26-C26)+(D27-C27)&lt;0,0,(D24-C24)+(D25-C25)+(D26-C26)+(D27-C27))</f>
        <v>562.79999216833187</v>
      </c>
      <c r="E17" s="510">
        <f t="shared" ca="1" si="14"/>
        <v>579.68559193337967</v>
      </c>
      <c r="F17" s="510">
        <f t="shared" ca="1" si="14"/>
        <v>0</v>
      </c>
      <c r="G17" s="510">
        <f ca="1">IF((G24-F24)+(G25-F25)+(G26-F26)+(G27-F27)&lt;0,0,(G24-F24)+(G25-F25)+(G26-F26)+(G27-F27))</f>
        <v>0</v>
      </c>
      <c r="H17" s="510">
        <f t="shared" ca="1" si="14"/>
        <v>0</v>
      </c>
      <c r="I17" s="510">
        <f t="shared" ca="1" si="14"/>
        <v>0</v>
      </c>
      <c r="J17" s="510">
        <f t="shared" ca="1" si="14"/>
        <v>0</v>
      </c>
      <c r="K17" s="510">
        <f t="shared" ca="1" si="14"/>
        <v>0</v>
      </c>
      <c r="L17" s="510">
        <f t="shared" ca="1" si="14"/>
        <v>0</v>
      </c>
      <c r="M17" s="510">
        <f t="shared" ca="1" si="14"/>
        <v>0</v>
      </c>
      <c r="N17" s="510">
        <f t="shared" ca="1" si="14"/>
        <v>0</v>
      </c>
      <c r="O17" s="510">
        <f t="shared" ca="1" si="14"/>
        <v>0</v>
      </c>
      <c r="P17" s="510">
        <f t="shared" ca="1" si="14"/>
        <v>0</v>
      </c>
      <c r="Q17" s="510">
        <f t="shared" ca="1" si="14"/>
        <v>0</v>
      </c>
      <c r="R17" s="510">
        <f t="shared" ca="1" si="14"/>
        <v>0</v>
      </c>
      <c r="S17" s="510">
        <f t="shared" ca="1" si="14"/>
        <v>0</v>
      </c>
      <c r="T17" s="510">
        <f t="shared" ca="1" si="14"/>
        <v>0</v>
      </c>
      <c r="U17" s="510">
        <f t="shared" ca="1" si="14"/>
        <v>0</v>
      </c>
      <c r="V17" s="510">
        <f t="shared" ca="1" si="14"/>
        <v>0</v>
      </c>
      <c r="W17" s="510">
        <f t="shared" ca="1" si="14"/>
        <v>0</v>
      </c>
      <c r="X17" s="510">
        <f t="shared" ca="1" si="14"/>
        <v>0</v>
      </c>
      <c r="Y17" s="510">
        <f t="shared" ca="1" si="14"/>
        <v>0</v>
      </c>
      <c r="Z17" s="510">
        <f t="shared" ca="1" si="14"/>
        <v>0</v>
      </c>
      <c r="AA17" s="510">
        <f t="shared" ca="1" si="14"/>
        <v>0</v>
      </c>
      <c r="AB17" s="510">
        <f t="shared" ca="1" si="14"/>
        <v>0</v>
      </c>
      <c r="AC17" s="510">
        <f t="shared" ca="1" si="14"/>
        <v>0</v>
      </c>
      <c r="AD17" s="510">
        <f t="shared" ca="1" si="14"/>
        <v>0</v>
      </c>
      <c r="AE17" s="510">
        <f t="shared" ca="1" si="14"/>
        <v>0</v>
      </c>
      <c r="AF17" s="510">
        <f t="shared" ca="1" si="14"/>
        <v>0</v>
      </c>
      <c r="AG17" s="510">
        <f t="shared" ca="1" si="14"/>
        <v>0</v>
      </c>
      <c r="AH17" s="510">
        <f t="shared" ca="1" si="14"/>
        <v>0</v>
      </c>
      <c r="AI17" s="510">
        <f t="shared" ca="1" si="14"/>
        <v>0</v>
      </c>
      <c r="AJ17" s="510">
        <f t="shared" ca="1" si="14"/>
        <v>0</v>
      </c>
      <c r="AK17" s="510">
        <f t="shared" ca="1" si="14"/>
        <v>0</v>
      </c>
      <c r="AL17" s="510">
        <f t="shared" ca="1" si="14"/>
        <v>0</v>
      </c>
      <c r="AM17" s="510">
        <f t="shared" ca="1" si="14"/>
        <v>0</v>
      </c>
      <c r="AN17" s="510">
        <f t="shared" ca="1" si="14"/>
        <v>0</v>
      </c>
      <c r="AO17" s="510">
        <f t="shared" ca="1" si="14"/>
        <v>0</v>
      </c>
      <c r="AP17" s="510">
        <f t="shared" ca="1" si="14"/>
        <v>0</v>
      </c>
      <c r="AQ17" s="510">
        <f t="shared" ca="1" si="14"/>
        <v>0</v>
      </c>
      <c r="AR17" s="510">
        <f t="shared" ca="1" si="14"/>
        <v>0</v>
      </c>
      <c r="AS17" s="510">
        <f t="shared" ca="1" si="14"/>
        <v>0</v>
      </c>
      <c r="AT17" s="510">
        <f t="shared" ca="1" si="14"/>
        <v>0</v>
      </c>
      <c r="AU17" s="510">
        <f t="shared" ca="1" si="14"/>
        <v>0</v>
      </c>
      <c r="AV17" s="510">
        <f t="shared" ca="1" si="14"/>
        <v>0</v>
      </c>
    </row>
    <row r="18" spans="1:48" s="491" customFormat="1" hidden="1">
      <c r="B18" s="492" t="s">
        <v>487</v>
      </c>
      <c r="C18" s="510">
        <v>0</v>
      </c>
      <c r="D18" s="510">
        <f t="shared" ref="D18:AV18" ca="1" si="15">IF((D24-C24)+(D25-C25)+(D26-C26)+(D27-C27)+(D28-C28)+(D31-C31)&lt;0,0,(D24-C24)+(D25-C25)+(D26-C26)+(D27-C27)+(D28-C28)+(D31-C31))</f>
        <v>1341.5184832054206</v>
      </c>
      <c r="E18" s="510">
        <f t="shared" ca="1" si="15"/>
        <v>609.16721166449247</v>
      </c>
      <c r="F18" s="510">
        <f t="shared" ca="1" si="15"/>
        <v>0</v>
      </c>
      <c r="G18" s="510">
        <f ca="1">IF((G24-F24)+(G25-F25)+(G26-F26)+(G27-F27)+(G28-F28)+(G31-F31)&lt;0,0,(G24-F24)+(G25-F25)+(G26-F26)+(G27-F27)+(G28-F28)+(G31-F31))</f>
        <v>795.77651076820132</v>
      </c>
      <c r="H18" s="510">
        <f t="shared" ca="1" si="15"/>
        <v>0</v>
      </c>
      <c r="I18" s="510">
        <f t="shared" ca="1" si="15"/>
        <v>0</v>
      </c>
      <c r="J18" s="510">
        <f t="shared" ca="1" si="15"/>
        <v>795.77651076820098</v>
      </c>
      <c r="K18" s="510">
        <f t="shared" ca="1" si="15"/>
        <v>0</v>
      </c>
      <c r="L18" s="510">
        <f t="shared" ca="1" si="15"/>
        <v>0</v>
      </c>
      <c r="M18" s="510">
        <f t="shared" ca="1" si="15"/>
        <v>795.77651076820166</v>
      </c>
      <c r="N18" s="510">
        <f t="shared" ca="1" si="15"/>
        <v>0</v>
      </c>
      <c r="O18" s="510">
        <f t="shared" ca="1" si="15"/>
        <v>0</v>
      </c>
      <c r="P18" s="510">
        <f t="shared" ca="1" si="15"/>
        <v>795.77651076820121</v>
      </c>
      <c r="Q18" s="510">
        <f t="shared" ca="1" si="15"/>
        <v>0</v>
      </c>
      <c r="R18" s="510">
        <f t="shared" ca="1" si="15"/>
        <v>0</v>
      </c>
      <c r="S18" s="510">
        <f t="shared" ca="1" si="15"/>
        <v>1591.5530215364024</v>
      </c>
      <c r="T18" s="510">
        <f t="shared" ca="1" si="15"/>
        <v>0</v>
      </c>
      <c r="U18" s="510">
        <f t="shared" ca="1" si="15"/>
        <v>0</v>
      </c>
      <c r="V18" s="510">
        <f t="shared" ca="1" si="15"/>
        <v>1591.5530215364033</v>
      </c>
      <c r="W18" s="510">
        <f t="shared" ca="1" si="15"/>
        <v>0</v>
      </c>
      <c r="X18" s="510">
        <f t="shared" ca="1" si="15"/>
        <v>0</v>
      </c>
      <c r="Y18" s="510">
        <f t="shared" ca="1" si="15"/>
        <v>1591.5530215364033</v>
      </c>
      <c r="Z18" s="510">
        <f t="shared" ca="1" si="15"/>
        <v>0</v>
      </c>
      <c r="AA18" s="510">
        <f t="shared" ca="1" si="15"/>
        <v>0</v>
      </c>
      <c r="AB18" s="510">
        <f t="shared" ca="1" si="15"/>
        <v>795.77651076819893</v>
      </c>
      <c r="AC18" s="510">
        <f t="shared" ca="1" si="15"/>
        <v>0</v>
      </c>
      <c r="AD18" s="510">
        <f t="shared" ca="1" si="15"/>
        <v>0</v>
      </c>
      <c r="AE18" s="510">
        <f t="shared" ca="1" si="15"/>
        <v>0</v>
      </c>
      <c r="AF18" s="510">
        <f t="shared" ca="1" si="15"/>
        <v>0</v>
      </c>
      <c r="AG18" s="510">
        <f t="shared" ca="1" si="15"/>
        <v>0</v>
      </c>
      <c r="AH18" s="510">
        <f t="shared" ca="1" si="15"/>
        <v>0</v>
      </c>
      <c r="AI18" s="510">
        <f t="shared" ca="1" si="15"/>
        <v>0</v>
      </c>
      <c r="AJ18" s="510">
        <f t="shared" ca="1" si="15"/>
        <v>0</v>
      </c>
      <c r="AK18" s="510">
        <f t="shared" ca="1" si="15"/>
        <v>0</v>
      </c>
      <c r="AL18" s="510">
        <f t="shared" ca="1" si="15"/>
        <v>0</v>
      </c>
      <c r="AM18" s="510">
        <f t="shared" ca="1" si="15"/>
        <v>0</v>
      </c>
      <c r="AN18" s="510">
        <f t="shared" ca="1" si="15"/>
        <v>0</v>
      </c>
      <c r="AO18" s="510">
        <f t="shared" ca="1" si="15"/>
        <v>0</v>
      </c>
      <c r="AP18" s="510">
        <f t="shared" ca="1" si="15"/>
        <v>0</v>
      </c>
      <c r="AQ18" s="510">
        <f t="shared" ca="1" si="15"/>
        <v>0</v>
      </c>
      <c r="AR18" s="510">
        <f t="shared" ca="1" si="15"/>
        <v>0</v>
      </c>
      <c r="AS18" s="510">
        <f t="shared" ca="1" si="15"/>
        <v>0</v>
      </c>
      <c r="AT18" s="510">
        <f t="shared" ca="1" si="15"/>
        <v>0</v>
      </c>
      <c r="AU18" s="510">
        <f t="shared" ca="1" si="15"/>
        <v>0</v>
      </c>
      <c r="AV18" s="510">
        <f t="shared" ca="1" si="15"/>
        <v>0</v>
      </c>
    </row>
    <row r="19" spans="1:48" s="491" customFormat="1" hidden="1">
      <c r="B19" s="493" t="s">
        <v>486</v>
      </c>
      <c r="C19" s="494">
        <v>0</v>
      </c>
      <c r="D19" s="494">
        <f ca="1">IF(D14-C14&gt;0,((D24+D25)*(D14-C14))*D12,0)</f>
        <v>772.59849103708859</v>
      </c>
      <c r="E19" s="494">
        <f t="shared" ref="E19:AV19" ca="1" si="16">IF(E14-D14&gt;0,((E24+E25)*(E14-D14))*E12,0)</f>
        <v>0</v>
      </c>
      <c r="F19" s="494">
        <f t="shared" ca="1" si="16"/>
        <v>0</v>
      </c>
      <c r="G19" s="494">
        <f t="shared" ca="1" si="16"/>
        <v>795.77651076820132</v>
      </c>
      <c r="H19" s="494">
        <f t="shared" ca="1" si="16"/>
        <v>0</v>
      </c>
      <c r="I19" s="494">
        <f t="shared" ca="1" si="16"/>
        <v>0</v>
      </c>
      <c r="J19" s="494">
        <f t="shared" ca="1" si="16"/>
        <v>795.77651076820109</v>
      </c>
      <c r="K19" s="494">
        <f t="shared" ca="1" si="16"/>
        <v>0</v>
      </c>
      <c r="L19" s="494">
        <f t="shared" ca="1" si="16"/>
        <v>0</v>
      </c>
      <c r="M19" s="494">
        <f t="shared" ca="1" si="16"/>
        <v>795.77651076820155</v>
      </c>
      <c r="N19" s="494">
        <f t="shared" ca="1" si="16"/>
        <v>0</v>
      </c>
      <c r="O19" s="494">
        <f t="shared" ca="1" si="16"/>
        <v>0</v>
      </c>
      <c r="P19" s="494">
        <f t="shared" ca="1" si="16"/>
        <v>795.77651076820109</v>
      </c>
      <c r="Q19" s="494">
        <f t="shared" ca="1" si="16"/>
        <v>0</v>
      </c>
      <c r="R19" s="494">
        <f t="shared" ca="1" si="16"/>
        <v>0</v>
      </c>
      <c r="S19" s="494">
        <f t="shared" ca="1" si="16"/>
        <v>1591.5530215364022</v>
      </c>
      <c r="T19" s="494">
        <f t="shared" ca="1" si="16"/>
        <v>0</v>
      </c>
      <c r="U19" s="494">
        <f t="shared" ca="1" si="16"/>
        <v>0</v>
      </c>
      <c r="V19" s="494">
        <f t="shared" ca="1" si="16"/>
        <v>1591.5530215364031</v>
      </c>
      <c r="W19" s="494">
        <f t="shared" ca="1" si="16"/>
        <v>0</v>
      </c>
      <c r="X19" s="494">
        <f t="shared" ca="1" si="16"/>
        <v>0</v>
      </c>
      <c r="Y19" s="494">
        <f t="shared" ca="1" si="16"/>
        <v>1591.5530215364031</v>
      </c>
      <c r="Z19" s="494">
        <f t="shared" ca="1" si="16"/>
        <v>0</v>
      </c>
      <c r="AA19" s="494">
        <f t="shared" ca="1" si="16"/>
        <v>0</v>
      </c>
      <c r="AB19" s="494">
        <f t="shared" ca="1" si="16"/>
        <v>795.77651076820018</v>
      </c>
      <c r="AC19" s="494">
        <f t="shared" ca="1" si="16"/>
        <v>0</v>
      </c>
      <c r="AD19" s="494">
        <f t="shared" ca="1" si="16"/>
        <v>0</v>
      </c>
      <c r="AE19" s="494">
        <f t="shared" ca="1" si="16"/>
        <v>0</v>
      </c>
      <c r="AF19" s="494">
        <f t="shared" ca="1" si="16"/>
        <v>0</v>
      </c>
      <c r="AG19" s="494">
        <f t="shared" ca="1" si="16"/>
        <v>0</v>
      </c>
      <c r="AH19" s="494">
        <f t="shared" ca="1" si="16"/>
        <v>0</v>
      </c>
      <c r="AI19" s="494">
        <f t="shared" ca="1" si="16"/>
        <v>0</v>
      </c>
      <c r="AJ19" s="494">
        <f t="shared" ca="1" si="16"/>
        <v>0</v>
      </c>
      <c r="AK19" s="494">
        <f t="shared" ca="1" si="16"/>
        <v>0</v>
      </c>
      <c r="AL19" s="494">
        <f t="shared" ca="1" si="16"/>
        <v>0</v>
      </c>
      <c r="AM19" s="494">
        <f t="shared" ca="1" si="16"/>
        <v>0</v>
      </c>
      <c r="AN19" s="494">
        <f t="shared" ca="1" si="16"/>
        <v>0</v>
      </c>
      <c r="AO19" s="494">
        <f t="shared" ca="1" si="16"/>
        <v>0</v>
      </c>
      <c r="AP19" s="494">
        <f t="shared" ca="1" si="16"/>
        <v>0</v>
      </c>
      <c r="AQ19" s="494">
        <f t="shared" ca="1" si="16"/>
        <v>0</v>
      </c>
      <c r="AR19" s="494">
        <f t="shared" ca="1" si="16"/>
        <v>0</v>
      </c>
      <c r="AS19" s="494">
        <f t="shared" ca="1" si="16"/>
        <v>0</v>
      </c>
      <c r="AT19" s="494">
        <f t="shared" ca="1" si="16"/>
        <v>0</v>
      </c>
      <c r="AU19" s="494">
        <f t="shared" ca="1" si="16"/>
        <v>0</v>
      </c>
      <c r="AV19" s="494">
        <f t="shared" ca="1" si="16"/>
        <v>0</v>
      </c>
    </row>
    <row r="20" spans="1:48" s="491" customFormat="1" hidden="1">
      <c r="B20" s="493" t="s">
        <v>488</v>
      </c>
      <c r="C20" s="494">
        <f>C18-C19</f>
        <v>0</v>
      </c>
      <c r="D20" s="494">
        <f t="shared" ref="D20:AV20" ca="1" si="17">IF(D18-D19&lt;0,0,D18-D19)</f>
        <v>568.91999216833199</v>
      </c>
      <c r="E20" s="494">
        <f t="shared" ca="1" si="17"/>
        <v>609.16721166449247</v>
      </c>
      <c r="F20" s="494">
        <f t="shared" ca="1" si="17"/>
        <v>0</v>
      </c>
      <c r="G20" s="494">
        <f t="shared" ca="1" si="17"/>
        <v>0</v>
      </c>
      <c r="H20" s="494">
        <f t="shared" ca="1" si="17"/>
        <v>0</v>
      </c>
      <c r="I20" s="494">
        <f t="shared" ca="1" si="17"/>
        <v>0</v>
      </c>
      <c r="J20" s="494">
        <f t="shared" ca="1" si="17"/>
        <v>0</v>
      </c>
      <c r="K20" s="494">
        <f t="shared" ca="1" si="17"/>
        <v>0</v>
      </c>
      <c r="L20" s="494">
        <f t="shared" ca="1" si="17"/>
        <v>0</v>
      </c>
      <c r="M20" s="494">
        <f t="shared" ca="1" si="17"/>
        <v>1.1368683772161603E-13</v>
      </c>
      <c r="N20" s="494">
        <f t="shared" ca="1" si="17"/>
        <v>0</v>
      </c>
      <c r="O20" s="494">
        <f t="shared" ca="1" si="17"/>
        <v>0</v>
      </c>
      <c r="P20" s="494">
        <f t="shared" ca="1" si="17"/>
        <v>1.1368683772161603E-13</v>
      </c>
      <c r="Q20" s="494">
        <f t="shared" ca="1" si="17"/>
        <v>0</v>
      </c>
      <c r="R20" s="494">
        <f t="shared" ca="1" si="17"/>
        <v>0</v>
      </c>
      <c r="S20" s="494">
        <f t="shared" ca="1" si="17"/>
        <v>2.2737367544323206E-13</v>
      </c>
      <c r="T20" s="494">
        <f t="shared" ca="1" si="17"/>
        <v>0</v>
      </c>
      <c r="U20" s="494">
        <f t="shared" ca="1" si="17"/>
        <v>0</v>
      </c>
      <c r="V20" s="494">
        <f t="shared" ca="1" si="17"/>
        <v>2.2737367544323206E-13</v>
      </c>
      <c r="W20" s="494">
        <f t="shared" ca="1" si="17"/>
        <v>0</v>
      </c>
      <c r="X20" s="494">
        <f t="shared" ca="1" si="17"/>
        <v>0</v>
      </c>
      <c r="Y20" s="494">
        <f t="shared" ca="1" si="17"/>
        <v>2.2737367544323206E-13</v>
      </c>
      <c r="Z20" s="494">
        <f t="shared" ca="1" si="17"/>
        <v>0</v>
      </c>
      <c r="AA20" s="494">
        <f t="shared" ca="1" si="17"/>
        <v>0</v>
      </c>
      <c r="AB20" s="494">
        <f t="shared" ca="1" si="17"/>
        <v>0</v>
      </c>
      <c r="AC20" s="494">
        <f t="shared" ca="1" si="17"/>
        <v>0</v>
      </c>
      <c r="AD20" s="494">
        <f t="shared" ca="1" si="17"/>
        <v>0</v>
      </c>
      <c r="AE20" s="494">
        <f t="shared" ca="1" si="17"/>
        <v>0</v>
      </c>
      <c r="AF20" s="494">
        <f t="shared" ca="1" si="17"/>
        <v>0</v>
      </c>
      <c r="AG20" s="494">
        <f t="shared" ca="1" si="17"/>
        <v>0</v>
      </c>
      <c r="AH20" s="494">
        <f t="shared" ca="1" si="17"/>
        <v>0</v>
      </c>
      <c r="AI20" s="494">
        <f t="shared" ca="1" si="17"/>
        <v>0</v>
      </c>
      <c r="AJ20" s="494">
        <f t="shared" ca="1" si="17"/>
        <v>0</v>
      </c>
      <c r="AK20" s="494">
        <f t="shared" ca="1" si="17"/>
        <v>0</v>
      </c>
      <c r="AL20" s="494">
        <f t="shared" ca="1" si="17"/>
        <v>0</v>
      </c>
      <c r="AM20" s="494">
        <f t="shared" ca="1" si="17"/>
        <v>0</v>
      </c>
      <c r="AN20" s="494">
        <f t="shared" ca="1" si="17"/>
        <v>0</v>
      </c>
      <c r="AO20" s="494">
        <f t="shared" ca="1" si="17"/>
        <v>0</v>
      </c>
      <c r="AP20" s="494">
        <f t="shared" ca="1" si="17"/>
        <v>0</v>
      </c>
      <c r="AQ20" s="494">
        <f t="shared" ca="1" si="17"/>
        <v>0</v>
      </c>
      <c r="AR20" s="494">
        <f t="shared" ca="1" si="17"/>
        <v>0</v>
      </c>
      <c r="AS20" s="494">
        <f t="shared" ca="1" si="17"/>
        <v>0</v>
      </c>
      <c r="AT20" s="494">
        <f t="shared" ca="1" si="17"/>
        <v>0</v>
      </c>
      <c r="AU20" s="494">
        <f t="shared" ca="1" si="17"/>
        <v>0</v>
      </c>
      <c r="AV20" s="494">
        <f t="shared" ca="1" si="17"/>
        <v>0</v>
      </c>
    </row>
    <row r="21" spans="1:48" s="491" customFormat="1">
      <c r="B21" s="481" t="s">
        <v>451</v>
      </c>
      <c r="C21" s="495"/>
      <c r="D21" s="495">
        <f t="shared" ref="D21:AC21" ca="1" si="18">((D17*100)/(C24+C26))/100</f>
        <v>3.3952702230232376E-2</v>
      </c>
      <c r="E21" s="495">
        <f t="shared" ca="1" si="18"/>
        <v>3.3952795943918201E-2</v>
      </c>
      <c r="F21" s="495">
        <f t="shared" ca="1" si="18"/>
        <v>0</v>
      </c>
      <c r="G21" s="495">
        <f t="shared" ca="1" si="18"/>
        <v>0</v>
      </c>
      <c r="H21" s="495">
        <f t="shared" ca="1" si="18"/>
        <v>0</v>
      </c>
      <c r="I21" s="495">
        <f t="shared" ca="1" si="18"/>
        <v>0</v>
      </c>
      <c r="J21" s="495">
        <f t="shared" ca="1" si="18"/>
        <v>0</v>
      </c>
      <c r="K21" s="495">
        <f t="shared" ca="1" si="18"/>
        <v>0</v>
      </c>
      <c r="L21" s="495">
        <f t="shared" ca="1" si="18"/>
        <v>0</v>
      </c>
      <c r="M21" s="495">
        <f t="shared" ca="1" si="18"/>
        <v>0</v>
      </c>
      <c r="N21" s="495">
        <f t="shared" ca="1" si="18"/>
        <v>0</v>
      </c>
      <c r="O21" s="495">
        <f t="shared" ca="1" si="18"/>
        <v>0</v>
      </c>
      <c r="P21" s="495">
        <f t="shared" ca="1" si="18"/>
        <v>0</v>
      </c>
      <c r="Q21" s="495">
        <f t="shared" ca="1" si="18"/>
        <v>0</v>
      </c>
      <c r="R21" s="495">
        <f t="shared" ca="1" si="18"/>
        <v>0</v>
      </c>
      <c r="S21" s="495">
        <f t="shared" ca="1" si="18"/>
        <v>0</v>
      </c>
      <c r="T21" s="495">
        <f t="shared" ca="1" si="18"/>
        <v>0</v>
      </c>
      <c r="U21" s="495">
        <f t="shared" ca="1" si="18"/>
        <v>0</v>
      </c>
      <c r="V21" s="495">
        <f t="shared" ca="1" si="18"/>
        <v>0</v>
      </c>
      <c r="W21" s="495">
        <f t="shared" ca="1" si="18"/>
        <v>0</v>
      </c>
      <c r="X21" s="495">
        <f t="shared" ca="1" si="18"/>
        <v>0</v>
      </c>
      <c r="Y21" s="495">
        <f t="shared" ca="1" si="18"/>
        <v>0</v>
      </c>
      <c r="Z21" s="495">
        <f t="shared" ca="1" si="18"/>
        <v>0</v>
      </c>
      <c r="AA21" s="495">
        <f t="shared" ca="1" si="18"/>
        <v>0</v>
      </c>
      <c r="AB21" s="495">
        <f t="shared" ca="1" si="18"/>
        <v>0</v>
      </c>
      <c r="AC21" s="495">
        <f t="shared" ca="1" si="18"/>
        <v>0</v>
      </c>
      <c r="AD21" s="495">
        <f t="shared" ref="AD21:AV21" ca="1" si="19">((AD17*100)/(AC24+AC26))/100</f>
        <v>0</v>
      </c>
      <c r="AE21" s="495">
        <f t="shared" ca="1" si="19"/>
        <v>0</v>
      </c>
      <c r="AF21" s="495">
        <f t="shared" ca="1" si="19"/>
        <v>0</v>
      </c>
      <c r="AG21" s="495">
        <f t="shared" ca="1" si="19"/>
        <v>0</v>
      </c>
      <c r="AH21" s="495">
        <f t="shared" ca="1" si="19"/>
        <v>0</v>
      </c>
      <c r="AI21" s="495">
        <f t="shared" ca="1" si="19"/>
        <v>0</v>
      </c>
      <c r="AJ21" s="495">
        <f t="shared" ca="1" si="19"/>
        <v>0</v>
      </c>
      <c r="AK21" s="495">
        <f t="shared" ca="1" si="19"/>
        <v>0</v>
      </c>
      <c r="AL21" s="495">
        <f t="shared" ca="1" si="19"/>
        <v>0</v>
      </c>
      <c r="AM21" s="495">
        <f t="shared" ca="1" si="19"/>
        <v>0</v>
      </c>
      <c r="AN21" s="495">
        <f t="shared" ca="1" si="19"/>
        <v>0</v>
      </c>
      <c r="AO21" s="495">
        <f t="shared" ca="1" si="19"/>
        <v>0</v>
      </c>
      <c r="AP21" s="495">
        <f t="shared" ca="1" si="19"/>
        <v>0</v>
      </c>
      <c r="AQ21" s="495">
        <f t="shared" ca="1" si="19"/>
        <v>0</v>
      </c>
      <c r="AR21" s="495">
        <f t="shared" ca="1" si="19"/>
        <v>0</v>
      </c>
      <c r="AS21" s="495">
        <f t="shared" ca="1" si="19"/>
        <v>0</v>
      </c>
      <c r="AT21" s="495">
        <f t="shared" ca="1" si="19"/>
        <v>0</v>
      </c>
      <c r="AU21" s="495">
        <f t="shared" ca="1" si="19"/>
        <v>0</v>
      </c>
      <c r="AV21" s="495">
        <f t="shared" ca="1" si="19"/>
        <v>0</v>
      </c>
    </row>
    <row r="22" spans="1:48" s="491" customFormat="1">
      <c r="B22" s="481" t="s">
        <v>531</v>
      </c>
      <c r="C22" s="495"/>
      <c r="D22" s="495">
        <f t="shared" ref="D22:AC22" ca="1" si="20">((D34*100)/C33)/100</f>
        <v>0</v>
      </c>
      <c r="E22" s="495">
        <f t="shared" ca="1" si="20"/>
        <v>0</v>
      </c>
      <c r="F22" s="495">
        <f t="shared" ca="1" si="20"/>
        <v>0</v>
      </c>
      <c r="G22" s="495">
        <f t="shared" ca="1" si="20"/>
        <v>0</v>
      </c>
      <c r="H22" s="495">
        <f t="shared" ca="1" si="20"/>
        <v>0</v>
      </c>
      <c r="I22" s="495">
        <f t="shared" ca="1" si="20"/>
        <v>0</v>
      </c>
      <c r="J22" s="495">
        <f t="shared" ca="1" si="20"/>
        <v>0</v>
      </c>
      <c r="K22" s="495">
        <f t="shared" ca="1" si="20"/>
        <v>0</v>
      </c>
      <c r="L22" s="495">
        <f t="shared" ca="1" si="20"/>
        <v>0</v>
      </c>
      <c r="M22" s="495">
        <f t="shared" ca="1" si="20"/>
        <v>0</v>
      </c>
      <c r="N22" s="495">
        <f t="shared" ca="1" si="20"/>
        <v>0</v>
      </c>
      <c r="O22" s="495">
        <f t="shared" ca="1" si="20"/>
        <v>0</v>
      </c>
      <c r="P22" s="495">
        <f t="shared" ca="1" si="20"/>
        <v>8.5126616721888631E-3</v>
      </c>
      <c r="Q22" s="495">
        <f t="shared" ca="1" si="20"/>
        <v>0</v>
      </c>
      <c r="R22" s="495">
        <f t="shared" ca="1" si="20"/>
        <v>0</v>
      </c>
      <c r="S22" s="495">
        <f t="shared" ca="1" si="20"/>
        <v>5.7461369180445442E-2</v>
      </c>
      <c r="T22" s="495">
        <f t="shared" ca="1" si="20"/>
        <v>0</v>
      </c>
      <c r="U22" s="495">
        <f t="shared" ca="1" si="20"/>
        <v>0</v>
      </c>
      <c r="V22" s="495">
        <f t="shared" ca="1" si="20"/>
        <v>5.4338977153349191E-2</v>
      </c>
      <c r="W22" s="495">
        <f t="shared" ca="1" si="20"/>
        <v>0</v>
      </c>
      <c r="X22" s="495">
        <f t="shared" ca="1" si="20"/>
        <v>0</v>
      </c>
      <c r="Y22" s="495">
        <f t="shared" ca="1" si="20"/>
        <v>5.1538431501471284E-2</v>
      </c>
      <c r="Z22" s="495">
        <f t="shared" ca="1" si="20"/>
        <v>0</v>
      </c>
      <c r="AA22" s="495">
        <f t="shared" ca="1" si="20"/>
        <v>0</v>
      </c>
      <c r="AB22" s="495">
        <f t="shared" ca="1" si="20"/>
        <v>2.4506204413223664E-2</v>
      </c>
      <c r="AC22" s="495">
        <f t="shared" ca="1" si="20"/>
        <v>0</v>
      </c>
      <c r="AD22" s="495">
        <f t="shared" ref="AD22:AV22" ca="1" si="21">((AD34*100)/AC33)/100</f>
        <v>0</v>
      </c>
      <c r="AE22" s="495">
        <f t="shared" ca="1" si="21"/>
        <v>0</v>
      </c>
      <c r="AF22" s="495">
        <f t="shared" ca="1" si="21"/>
        <v>0</v>
      </c>
      <c r="AG22" s="495">
        <f t="shared" ca="1" si="21"/>
        <v>0</v>
      </c>
      <c r="AH22" s="495">
        <f t="shared" ca="1" si="21"/>
        <v>0</v>
      </c>
      <c r="AI22" s="495">
        <f t="shared" ca="1" si="21"/>
        <v>0</v>
      </c>
      <c r="AJ22" s="495">
        <f t="shared" ca="1" si="21"/>
        <v>0</v>
      </c>
      <c r="AK22" s="495">
        <f t="shared" ca="1" si="21"/>
        <v>0</v>
      </c>
      <c r="AL22" s="495">
        <f t="shared" ca="1" si="21"/>
        <v>0</v>
      </c>
      <c r="AM22" s="495">
        <f t="shared" ca="1" si="21"/>
        <v>0</v>
      </c>
      <c r="AN22" s="495">
        <f t="shared" ca="1" si="21"/>
        <v>0</v>
      </c>
      <c r="AO22" s="495">
        <f t="shared" ca="1" si="21"/>
        <v>0</v>
      </c>
      <c r="AP22" s="495">
        <f t="shared" ca="1" si="21"/>
        <v>0</v>
      </c>
      <c r="AQ22" s="495">
        <f t="shared" ca="1" si="21"/>
        <v>0</v>
      </c>
      <c r="AR22" s="495">
        <f t="shared" ca="1" si="21"/>
        <v>0</v>
      </c>
      <c r="AS22" s="495">
        <f t="shared" ca="1" si="21"/>
        <v>0</v>
      </c>
      <c r="AT22" s="495">
        <f t="shared" ca="1" si="21"/>
        <v>0</v>
      </c>
      <c r="AU22" s="495">
        <f t="shared" ca="1" si="21"/>
        <v>0</v>
      </c>
      <c r="AV22" s="495">
        <f t="shared" ca="1" si="21"/>
        <v>0</v>
      </c>
    </row>
    <row r="23" spans="1:48" s="491" customFormat="1">
      <c r="B23" s="470" t="s">
        <v>441</v>
      </c>
      <c r="C23" s="496">
        <f ca="1">SUM(C24:C28)</f>
        <v>18759.999738944327</v>
      </c>
      <c r="D23" s="496">
        <f t="shared" ref="D23:AC23" ca="1" si="22">SUM(D24:D28)</f>
        <v>20095.39822214975</v>
      </c>
      <c r="E23" s="496">
        <f t="shared" ca="1" si="22"/>
        <v>20698.261833814238</v>
      </c>
      <c r="F23" s="496">
        <f t="shared" ca="1" si="22"/>
        <v>20698.261833814238</v>
      </c>
      <c r="G23" s="496">
        <f t="shared" ca="1" si="22"/>
        <v>21494.038344582437</v>
      </c>
      <c r="H23" s="496">
        <f t="shared" ca="1" si="22"/>
        <v>21494.038344582437</v>
      </c>
      <c r="I23" s="496">
        <f t="shared" ca="1" si="22"/>
        <v>21494.038344582437</v>
      </c>
      <c r="J23" s="496">
        <f t="shared" ca="1" si="22"/>
        <v>22289.81485535064</v>
      </c>
      <c r="K23" s="496">
        <f t="shared" ca="1" si="22"/>
        <v>22289.81485535064</v>
      </c>
      <c r="L23" s="496">
        <f t="shared" ca="1" si="22"/>
        <v>22289.81485535064</v>
      </c>
      <c r="M23" s="496">
        <f t="shared" ca="1" si="22"/>
        <v>23085.591366118842</v>
      </c>
      <c r="N23" s="496">
        <f t="shared" ca="1" si="22"/>
        <v>23085.591366118842</v>
      </c>
      <c r="O23" s="496">
        <f t="shared" ca="1" si="22"/>
        <v>23085.591366118842</v>
      </c>
      <c r="P23" s="496">
        <f t="shared" ca="1" si="22"/>
        <v>23881.367876887041</v>
      </c>
      <c r="Q23" s="496">
        <f t="shared" ca="1" si="22"/>
        <v>23881.367876887041</v>
      </c>
      <c r="R23" s="496">
        <f t="shared" ca="1" si="22"/>
        <v>23881.367876887041</v>
      </c>
      <c r="S23" s="496">
        <f t="shared" ca="1" si="22"/>
        <v>25472.920898423443</v>
      </c>
      <c r="T23" s="496">
        <f t="shared" ca="1" si="22"/>
        <v>25472.920898423443</v>
      </c>
      <c r="U23" s="496">
        <f t="shared" ca="1" si="22"/>
        <v>25472.920898423443</v>
      </c>
      <c r="V23" s="496">
        <f t="shared" ca="1" si="22"/>
        <v>27064.473919959848</v>
      </c>
      <c r="W23" s="496">
        <f t="shared" ca="1" si="22"/>
        <v>27064.473919959848</v>
      </c>
      <c r="X23" s="496">
        <f t="shared" ca="1" si="22"/>
        <v>27064.473919959848</v>
      </c>
      <c r="Y23" s="496">
        <f t="shared" ca="1" si="22"/>
        <v>28656.026941496253</v>
      </c>
      <c r="Z23" s="496">
        <f t="shared" ca="1" si="22"/>
        <v>28656.026941496253</v>
      </c>
      <c r="AA23" s="496">
        <f t="shared" ca="1" si="22"/>
        <v>28656.026941496253</v>
      </c>
      <c r="AB23" s="496">
        <f t="shared" ca="1" si="22"/>
        <v>29451.803452264452</v>
      </c>
      <c r="AC23" s="496">
        <f t="shared" ca="1" si="22"/>
        <v>29451.803452264452</v>
      </c>
      <c r="AD23" s="496">
        <f t="shared" ref="AD23:AL23" ca="1" si="23">SUM(AD24:AD28)</f>
        <v>29451.803452264452</v>
      </c>
      <c r="AE23" s="496">
        <f t="shared" ca="1" si="23"/>
        <v>29451.803452264452</v>
      </c>
      <c r="AF23" s="496">
        <f t="shared" ca="1" si="23"/>
        <v>29451.803452264452</v>
      </c>
      <c r="AG23" s="496">
        <f t="shared" ca="1" si="23"/>
        <v>29451.803452264452</v>
      </c>
      <c r="AH23" s="496">
        <f t="shared" ca="1" si="23"/>
        <v>29451.803452264452</v>
      </c>
      <c r="AI23" s="496">
        <f t="shared" ca="1" si="23"/>
        <v>29451.803452264452</v>
      </c>
      <c r="AJ23" s="496">
        <f t="shared" ca="1" si="23"/>
        <v>29451.803452264452</v>
      </c>
      <c r="AK23" s="496">
        <f t="shared" ca="1" si="23"/>
        <v>29451.803452264452</v>
      </c>
      <c r="AL23" s="496">
        <f t="shared" ca="1" si="23"/>
        <v>29451.803452264452</v>
      </c>
      <c r="AM23" s="496">
        <f t="shared" ref="AM23:AR23" ca="1" si="24">SUM(AM24:AM28)</f>
        <v>29451.803452264452</v>
      </c>
      <c r="AN23" s="496">
        <f t="shared" ca="1" si="24"/>
        <v>29451.803452264452</v>
      </c>
      <c r="AO23" s="496">
        <f t="shared" ca="1" si="24"/>
        <v>29451.803452264452</v>
      </c>
      <c r="AP23" s="496">
        <f t="shared" ca="1" si="24"/>
        <v>29451.803452264452</v>
      </c>
      <c r="AQ23" s="496">
        <f t="shared" ca="1" si="24"/>
        <v>29451.803452264452</v>
      </c>
      <c r="AR23" s="496">
        <f t="shared" ca="1" si="24"/>
        <v>29451.803452264452</v>
      </c>
      <c r="AS23" s="496">
        <f ca="1">SUM(AS24:AS28)</f>
        <v>29451.803452264452</v>
      </c>
      <c r="AT23" s="496">
        <f ca="1">SUM(AT24:AT28)</f>
        <v>29451.803452264452</v>
      </c>
      <c r="AU23" s="496">
        <f ca="1">SUM(AU24:AU28)</f>
        <v>29451.803452264452</v>
      </c>
      <c r="AV23" s="496">
        <f ca="1">SUM(AV24:AV28)</f>
        <v>29451.803452264452</v>
      </c>
    </row>
    <row r="24" spans="1:48">
      <c r="B24" s="402" t="s">
        <v>18</v>
      </c>
      <c r="C24" s="497">
        <f ca="1">VLOOKUP(C$16,TABLAS!$D$3:$P$60,IF(C15=2025,5,IF(C15=2026,8,IF(C15=2027,11,11))),FALSE)*C12</f>
        <v>13545.90530457197</v>
      </c>
      <c r="D24" s="497">
        <f ca="1">VLOOKUP(D$16,TABLAS!$D$3:$P$60,IF(D15=2025,5,IF(D15=2026,8,IF(D15=2027,11,11))),FALSE)*D12</f>
        <v>13952.29</v>
      </c>
      <c r="E24" s="497">
        <f ca="1">VLOOKUP(E$16,TABLAS!$D$3:$P$60,IF(E15=2025,5,IF(E15=2026,8,IF(E15=2027,11,11))),FALSE)*E12</f>
        <v>14370.86</v>
      </c>
      <c r="F24" s="497">
        <f ca="1">VLOOKUP(F$16,TABLAS!$D$3:$P$60,IF(F15=2025,5,IF(F15=2026,8,IF(F15=2027,11,11))),FALSE)*F12</f>
        <v>14370.86</v>
      </c>
      <c r="G24" s="497">
        <f ca="1">VLOOKUP(G$16,TABLAS!$D$3:$P$60,IF(G15=2025,5,IF(G15=2026,8,IF(G15=2027,11,11))),FALSE)*G12</f>
        <v>14370.86</v>
      </c>
      <c r="H24" s="497">
        <f ca="1">VLOOKUP(H$16,TABLAS!$D$3:$P$60,IF(H15=2025,5,IF(H15=2026,8,IF(H15=2027,11,11))),FALSE)*H12</f>
        <v>14370.86</v>
      </c>
      <c r="I24" s="497">
        <f ca="1">VLOOKUP(I$16,TABLAS!$D$3:$P$60,IF(I15=2025,5,IF(I15=2026,8,IF(I15=2027,11,11))),FALSE)*I12</f>
        <v>14370.86</v>
      </c>
      <c r="J24" s="497">
        <f ca="1">VLOOKUP(J$16,TABLAS!$D$3:$P$60,IF(J15=2025,5,IF(J15=2026,8,IF(J15=2027,11,11))),FALSE)*J12</f>
        <v>14370.86</v>
      </c>
      <c r="K24" s="497">
        <f ca="1">VLOOKUP(K$16,TABLAS!$D$3:$P$60,IF(K15=2025,5,IF(K15=2026,8,IF(K15=2027,11,11))),FALSE)*K12</f>
        <v>14370.86</v>
      </c>
      <c r="L24" s="497">
        <f ca="1">VLOOKUP(L$16,TABLAS!$D$3:$P$60,IF(L15=2025,5,IF(L15=2026,8,IF(L15=2027,11,11))),FALSE)*L12</f>
        <v>14370.86</v>
      </c>
      <c r="M24" s="497">
        <f ca="1">VLOOKUP(M$16,TABLAS!$D$3:$P$60,IF(M15=2025,5,IF(M15=2026,8,IF(M15=2027,11,11))),FALSE)*M12</f>
        <v>14370.86</v>
      </c>
      <c r="N24" s="497">
        <f ca="1">VLOOKUP(N$16,TABLAS!$D$3:$P$60,IF(N15=2025,5,IF(N15=2026,8,IF(N15=2027,11,11))),FALSE)*N12</f>
        <v>14370.86</v>
      </c>
      <c r="O24" s="497">
        <f ca="1">VLOOKUP(O$16,TABLAS!$D$3:$P$60,IF(O15=2025,5,IF(O15=2026,8,IF(O15=2027,11,11))),FALSE)*O12</f>
        <v>14370.86</v>
      </c>
      <c r="P24" s="497">
        <f ca="1">VLOOKUP(P$16,TABLAS!$D$3:$P$60,IF(P15=2025,5,IF(P15=2026,8,IF(P15=2027,11,11))),FALSE)*P12</f>
        <v>14370.86</v>
      </c>
      <c r="Q24" s="497">
        <f ca="1">VLOOKUP(Q$16,TABLAS!$D$3:$P$60,IF(Q15=2025,5,IF(Q15=2026,8,IF(Q15=2027,11,11))),FALSE)*Q12</f>
        <v>14370.86</v>
      </c>
      <c r="R24" s="497">
        <f ca="1">VLOOKUP(R$16,TABLAS!$D$3:$P$60,IF(R15=2025,5,IF(R15=2026,8,IF(R15=2027,11,11))),FALSE)*R12</f>
        <v>14370.86</v>
      </c>
      <c r="S24" s="497">
        <f ca="1">VLOOKUP(S$16,TABLAS!$D$3:$P$60,IF(S15=2025,5,IF(S15=2026,8,IF(S15=2027,11,11))),FALSE)*S12</f>
        <v>14370.86</v>
      </c>
      <c r="T24" s="497">
        <f ca="1">VLOOKUP(T$16,TABLAS!$D$3:$P$60,IF(T15=2025,5,IF(T15=2026,8,IF(T15=2027,11,11))),FALSE)*T12</f>
        <v>14370.86</v>
      </c>
      <c r="U24" s="497">
        <f ca="1">VLOOKUP(U$16,TABLAS!$D$3:$P$60,IF(U15=2025,5,IF(U15=2026,8,IF(U15=2027,11,11))),FALSE)*U12</f>
        <v>14370.86</v>
      </c>
      <c r="V24" s="497">
        <f ca="1">VLOOKUP(V$16,TABLAS!$D$3:$P$60,IF(V15=2025,5,IF(V15=2026,8,IF(V15=2027,11,11))),FALSE)*V12</f>
        <v>14370.86</v>
      </c>
      <c r="W24" s="497">
        <f ca="1">VLOOKUP(W$16,TABLAS!$D$3:$P$60,IF(W15=2025,5,IF(W15=2026,8,IF(W15=2027,11,11))),FALSE)*W12</f>
        <v>14370.86</v>
      </c>
      <c r="X24" s="497">
        <f ca="1">VLOOKUP(X$16,TABLAS!$D$3:$P$60,IF(X15=2025,5,IF(X15=2026,8,IF(X15=2027,11,11))),FALSE)*X12</f>
        <v>14370.86</v>
      </c>
      <c r="Y24" s="497">
        <f ca="1">VLOOKUP(Y$16,TABLAS!$D$3:$P$60,IF(Y15=2025,5,IF(Y15=2026,8,IF(Y15=2027,11,11))),FALSE)*Y12</f>
        <v>14370.86</v>
      </c>
      <c r="Z24" s="497">
        <f ca="1">VLOOKUP(Z$16,TABLAS!$D$3:$P$60,IF(Z15=2025,5,IF(Z15=2026,8,IF(Z15=2027,11,11))),FALSE)*Z12</f>
        <v>14370.86</v>
      </c>
      <c r="AA24" s="497">
        <f ca="1">VLOOKUP(AA$16,TABLAS!$D$3:$P$60,IF(AA15=2025,5,IF(AA15=2026,8,IF(AA15=2027,11,11))),FALSE)*AA12</f>
        <v>14370.86</v>
      </c>
      <c r="AB24" s="497">
        <f ca="1">VLOOKUP(AB$16,TABLAS!$D$3:$P$60,IF(AB15=2025,5,IF(AB15=2026,8,IF(AB15=2027,11,11))),FALSE)*AB12</f>
        <v>14370.86</v>
      </c>
      <c r="AC24" s="497">
        <f ca="1">VLOOKUP(AC$16,TABLAS!$D$3:$P$60,IF(AC15=2025,5,IF(AC15=2026,8,IF(AC15=2027,11,11))),FALSE)*AC12</f>
        <v>14370.86</v>
      </c>
      <c r="AD24" s="497">
        <f ca="1">VLOOKUP(AD$16,TABLAS!$D$3:$P$60,IF(AD15=2025,5,IF(AD15=2026,8,IF(AD15=2027,11,11))),FALSE)*AD12</f>
        <v>14370.86</v>
      </c>
      <c r="AE24" s="497">
        <f ca="1">VLOOKUP(AE$16,TABLAS!$D$3:$P$60,IF(AE15=2025,5,IF(AE15=2026,8,IF(AE15=2027,11,11))),FALSE)*AE12</f>
        <v>14370.86</v>
      </c>
      <c r="AF24" s="497">
        <f ca="1">VLOOKUP(AF$16,TABLAS!$D$3:$P$60,IF(AF15=2025,5,IF(AF15=2026,8,IF(AF15=2027,11,11))),FALSE)*AF12</f>
        <v>14370.86</v>
      </c>
      <c r="AG24" s="497">
        <f ca="1">VLOOKUP(AG$16,TABLAS!$D$3:$P$60,IF(AG15=2025,5,IF(AG15=2026,8,IF(AG15=2027,11,11))),FALSE)*AG12</f>
        <v>14370.86</v>
      </c>
      <c r="AH24" s="497">
        <f ca="1">VLOOKUP(AH$16,TABLAS!$D$3:$P$60,IF(AH15=2025,5,IF(AH15=2026,8,IF(AH15=2027,11,11))),FALSE)*AH12</f>
        <v>14370.86</v>
      </c>
      <c r="AI24" s="497">
        <f ca="1">VLOOKUP(AI$16,TABLAS!$D$3:$P$60,IF(AI15=2025,5,IF(AI15=2026,8,IF(AI15=2027,11,11))),FALSE)*AI12</f>
        <v>14370.86</v>
      </c>
      <c r="AJ24" s="497">
        <f ca="1">VLOOKUP(AJ$16,TABLAS!$D$3:$P$60,IF(AJ15=2025,5,IF(AJ15=2026,8,IF(AJ15=2027,11,11))),FALSE)*AJ12</f>
        <v>14370.86</v>
      </c>
      <c r="AK24" s="497">
        <f ca="1">VLOOKUP(AK$16,TABLAS!$D$3:$P$60,IF(AK15=2025,5,IF(AK15=2026,8,IF(AK15=2027,11,11))),FALSE)*AK12</f>
        <v>14370.86</v>
      </c>
      <c r="AL24" s="497">
        <f ca="1">VLOOKUP(AL$16,TABLAS!$D$3:$P$60,IF(AL15=2025,5,IF(AL15=2026,8,IF(AL15=2027,11,11))),FALSE)*AL12</f>
        <v>14370.86</v>
      </c>
      <c r="AM24" s="497">
        <f ca="1">VLOOKUP(AM$16,TABLAS!$D$3:$P$60,IF(AM15=2025,5,IF(AM15=2026,8,IF(AM15=2027,11,11))),FALSE)*AM12</f>
        <v>14370.86</v>
      </c>
      <c r="AN24" s="497">
        <f ca="1">VLOOKUP(AN$16,TABLAS!$D$3:$P$60,IF(AN15=2025,5,IF(AN15=2026,8,IF(AN15=2027,11,11))),FALSE)*AN12</f>
        <v>14370.86</v>
      </c>
      <c r="AO24" s="497">
        <f ca="1">VLOOKUP(AO$16,TABLAS!$D$3:$P$60,IF(AO15=2025,5,IF(AO15=2026,8,IF(AO15=2027,11,11))),FALSE)*AO12</f>
        <v>14370.86</v>
      </c>
      <c r="AP24" s="497">
        <f ca="1">VLOOKUP(AP$16,TABLAS!$D$3:$P$60,IF(AP15=2025,5,IF(AP15=2026,8,IF(AP15=2027,11,11))),FALSE)*AP12</f>
        <v>14370.86</v>
      </c>
      <c r="AQ24" s="497">
        <f ca="1">VLOOKUP(AQ$16,TABLAS!$D$3:$P$60,IF(AQ15=2025,5,IF(AQ15=2026,8,IF(AQ15=2027,11,11))),FALSE)*AQ12</f>
        <v>14370.86</v>
      </c>
      <c r="AR24" s="497">
        <f ca="1">VLOOKUP(AR$16,TABLAS!$D$3:$P$60,IF(AR15=2025,5,IF(AR15=2026,8,IF(AR15=2027,11,11))),FALSE)*AR12</f>
        <v>14370.86</v>
      </c>
      <c r="AS24" s="497">
        <f ca="1">VLOOKUP(AS$16,TABLAS!$D$3:$P$60,IF(AS15=2025,5,IF(AS15=2026,8,IF(AS15=2027,11,11))),FALSE)*AS12</f>
        <v>14370.86</v>
      </c>
      <c r="AT24" s="497">
        <f ca="1">VLOOKUP(AT$16,TABLAS!$D$3:$P$60,IF(AT15=2025,5,IF(AT15=2026,8,IF(AT15=2027,11,11))),FALSE)*AT12</f>
        <v>14370.86</v>
      </c>
      <c r="AU24" s="497">
        <f ca="1">VLOOKUP(AU$16,TABLAS!$D$3:$P$60,IF(AU15=2025,5,IF(AU15=2026,8,IF(AU15=2027,11,11))),FALSE)*AU12</f>
        <v>14370.86</v>
      </c>
      <c r="AV24" s="497">
        <f ca="1">VLOOKUP(AV$16,TABLAS!$D$3:$P$60,IF(AV15=2025,5,IF(AV15=2026,8,IF(AV15=2027,11,11))),FALSE)*AV12</f>
        <v>14370.86</v>
      </c>
    </row>
    <row r="25" spans="1:48">
      <c r="B25" s="402" t="s">
        <v>428</v>
      </c>
      <c r="C25" s="497">
        <f>$E$6*14</f>
        <v>1455.9998259628846</v>
      </c>
      <c r="D25" s="497">
        <f>$C$25*1.03</f>
        <v>1499.6798207417712</v>
      </c>
      <c r="E25" s="497">
        <f>$D$25*1.03</f>
        <v>1544.6702153640244</v>
      </c>
      <c r="F25" s="497">
        <f>E25</f>
        <v>1544.6702153640244</v>
      </c>
      <c r="G25" s="497">
        <f>F25</f>
        <v>1544.6702153640244</v>
      </c>
      <c r="H25" s="497">
        <f t="shared" ref="H25:AV25" si="25">G25</f>
        <v>1544.6702153640244</v>
      </c>
      <c r="I25" s="497">
        <f t="shared" si="25"/>
        <v>1544.6702153640244</v>
      </c>
      <c r="J25" s="497">
        <f t="shared" si="25"/>
        <v>1544.6702153640244</v>
      </c>
      <c r="K25" s="497">
        <f t="shared" si="25"/>
        <v>1544.6702153640244</v>
      </c>
      <c r="L25" s="497">
        <f t="shared" si="25"/>
        <v>1544.6702153640244</v>
      </c>
      <c r="M25" s="497">
        <f t="shared" si="25"/>
        <v>1544.6702153640244</v>
      </c>
      <c r="N25" s="497">
        <f t="shared" si="25"/>
        <v>1544.6702153640244</v>
      </c>
      <c r="O25" s="497">
        <f t="shared" si="25"/>
        <v>1544.6702153640244</v>
      </c>
      <c r="P25" s="497">
        <f t="shared" si="25"/>
        <v>1544.6702153640244</v>
      </c>
      <c r="Q25" s="497">
        <f t="shared" si="25"/>
        <v>1544.6702153640244</v>
      </c>
      <c r="R25" s="497">
        <f t="shared" si="25"/>
        <v>1544.6702153640244</v>
      </c>
      <c r="S25" s="497">
        <f t="shared" si="25"/>
        <v>1544.6702153640244</v>
      </c>
      <c r="T25" s="497">
        <f t="shared" si="25"/>
        <v>1544.6702153640244</v>
      </c>
      <c r="U25" s="497">
        <f t="shared" si="25"/>
        <v>1544.6702153640244</v>
      </c>
      <c r="V25" s="497">
        <f t="shared" si="25"/>
        <v>1544.6702153640244</v>
      </c>
      <c r="W25" s="497">
        <f t="shared" si="25"/>
        <v>1544.6702153640244</v>
      </c>
      <c r="X25" s="497">
        <f t="shared" si="25"/>
        <v>1544.6702153640244</v>
      </c>
      <c r="Y25" s="497">
        <f t="shared" si="25"/>
        <v>1544.6702153640244</v>
      </c>
      <c r="Z25" s="497">
        <f t="shared" si="25"/>
        <v>1544.6702153640244</v>
      </c>
      <c r="AA25" s="497">
        <f t="shared" si="25"/>
        <v>1544.6702153640244</v>
      </c>
      <c r="AB25" s="497">
        <f t="shared" si="25"/>
        <v>1544.6702153640244</v>
      </c>
      <c r="AC25" s="497">
        <f t="shared" si="25"/>
        <v>1544.6702153640244</v>
      </c>
      <c r="AD25" s="497">
        <f t="shared" si="25"/>
        <v>1544.6702153640244</v>
      </c>
      <c r="AE25" s="497">
        <f t="shared" si="25"/>
        <v>1544.6702153640244</v>
      </c>
      <c r="AF25" s="497">
        <f t="shared" si="25"/>
        <v>1544.6702153640244</v>
      </c>
      <c r="AG25" s="497">
        <f t="shared" si="25"/>
        <v>1544.6702153640244</v>
      </c>
      <c r="AH25" s="497">
        <f t="shared" si="25"/>
        <v>1544.6702153640244</v>
      </c>
      <c r="AI25" s="497">
        <f t="shared" si="25"/>
        <v>1544.6702153640244</v>
      </c>
      <c r="AJ25" s="497">
        <f t="shared" si="25"/>
        <v>1544.6702153640244</v>
      </c>
      <c r="AK25" s="497">
        <f t="shared" si="25"/>
        <v>1544.6702153640244</v>
      </c>
      <c r="AL25" s="497">
        <f t="shared" si="25"/>
        <v>1544.6702153640244</v>
      </c>
      <c r="AM25" s="497">
        <f t="shared" si="25"/>
        <v>1544.6702153640244</v>
      </c>
      <c r="AN25" s="497">
        <f t="shared" si="25"/>
        <v>1544.6702153640244</v>
      </c>
      <c r="AO25" s="497">
        <f t="shared" si="25"/>
        <v>1544.6702153640244</v>
      </c>
      <c r="AP25" s="497">
        <f t="shared" si="25"/>
        <v>1544.6702153640244</v>
      </c>
      <c r="AQ25" s="497">
        <f t="shared" si="25"/>
        <v>1544.6702153640244</v>
      </c>
      <c r="AR25" s="497">
        <f t="shared" si="25"/>
        <v>1544.6702153640244</v>
      </c>
      <c r="AS25" s="497">
        <f t="shared" si="25"/>
        <v>1544.6702153640244</v>
      </c>
      <c r="AT25" s="497">
        <f t="shared" si="25"/>
        <v>1544.6702153640244</v>
      </c>
      <c r="AU25" s="497">
        <f t="shared" si="25"/>
        <v>1544.6702153640244</v>
      </c>
      <c r="AV25" s="497">
        <f t="shared" si="25"/>
        <v>1544.6702153640244</v>
      </c>
    </row>
    <row r="26" spans="1:48">
      <c r="B26" s="402" t="s">
        <v>19</v>
      </c>
      <c r="C26" s="497">
        <f ca="1">VLOOKUP(C$16,TABLAS!$D$3:$P$60,IF(C15=2025,6,IF(C15=2026,9,IF(C15=2027,12,12))),FALSE)*C12</f>
        <v>3030.0946954280284</v>
      </c>
      <c r="D26" s="497">
        <f ca="1">VLOOKUP(D$16,TABLAS!$D$3:$P$60,IF(D15=2025,6,IF(D15=2026,9,IF(D15=2027,12,12))),FALSE)*D12</f>
        <v>3120.99</v>
      </c>
      <c r="E26" s="497">
        <f ca="1">VLOOKUP(E$16,TABLAS!$D$3:$P$60,IF(E15=2025,6,IF(E15=2026,9,IF(E15=2027,12,12))),FALSE)*E12</f>
        <v>3214.62</v>
      </c>
      <c r="F26" s="497">
        <f ca="1">VLOOKUP(F$16,TABLAS!$D$3:$P$60,IF(F15=2025,6,IF(F15=2026,9,IF(F15=2027,12,12))),FALSE)*F12</f>
        <v>3214.62</v>
      </c>
      <c r="G26" s="497">
        <f ca="1">VLOOKUP(G$16,TABLAS!$D$3:$P$60,IF(G15=2025,6,IF(G15=2026,9,IF(G15=2027,12,12))),FALSE)*G12</f>
        <v>3214.62</v>
      </c>
      <c r="H26" s="497">
        <f ca="1">VLOOKUP(H$16,TABLAS!$D$3:$P$60,IF(H15=2025,6,IF(H15=2026,9,IF(H15=2027,12,12))),FALSE)*H12</f>
        <v>3214.62</v>
      </c>
      <c r="I26" s="497">
        <f ca="1">VLOOKUP(I$16,TABLAS!$D$3:$P$60,IF(I15=2025,6,IF(I15=2026,9,IF(I15=2027,12,12))),FALSE)*I12</f>
        <v>3214.62</v>
      </c>
      <c r="J26" s="497">
        <f ca="1">VLOOKUP(J$16,TABLAS!$D$3:$P$60,IF(J15=2025,6,IF(J15=2026,9,IF(J15=2027,12,12))),FALSE)*J12</f>
        <v>3214.62</v>
      </c>
      <c r="K26" s="497">
        <f ca="1">VLOOKUP(K$16,TABLAS!$D$3:$P$60,IF(K15=2025,6,IF(K15=2026,9,IF(K15=2027,12,12))),FALSE)*K12</f>
        <v>3214.62</v>
      </c>
      <c r="L26" s="497">
        <f ca="1">VLOOKUP(L$16,TABLAS!$D$3:$P$60,IF(L15=2025,6,IF(L15=2026,9,IF(L15=2027,12,12))),FALSE)*L12</f>
        <v>3214.62</v>
      </c>
      <c r="M26" s="497">
        <f ca="1">VLOOKUP(M$16,TABLAS!$D$3:$P$60,IF(M15=2025,6,IF(M15=2026,9,IF(M15=2027,12,12))),FALSE)*M12</f>
        <v>3214.62</v>
      </c>
      <c r="N26" s="497">
        <f ca="1">VLOOKUP(N$16,TABLAS!$D$3:$P$60,IF(N15=2025,6,IF(N15=2026,9,IF(N15=2027,12,12))),FALSE)*N12</f>
        <v>3214.62</v>
      </c>
      <c r="O26" s="497">
        <f ca="1">VLOOKUP(O$16,TABLAS!$D$3:$P$60,IF(O15=2025,6,IF(O15=2026,9,IF(O15=2027,12,12))),FALSE)*O12</f>
        <v>3214.62</v>
      </c>
      <c r="P26" s="497">
        <f ca="1">VLOOKUP(P$16,TABLAS!$D$3:$P$60,IF(P15=2025,6,IF(P15=2026,9,IF(P15=2027,12,12))),FALSE)*P12</f>
        <v>3214.62</v>
      </c>
      <c r="Q26" s="497">
        <f ca="1">VLOOKUP(Q$16,TABLAS!$D$3:$P$60,IF(Q15=2025,6,IF(Q15=2026,9,IF(Q15=2027,12,12))),FALSE)*Q12</f>
        <v>3214.62</v>
      </c>
      <c r="R26" s="497">
        <f ca="1">VLOOKUP(R$16,TABLAS!$D$3:$P$60,IF(R15=2025,6,IF(R15=2026,9,IF(R15=2027,12,12))),FALSE)*R12</f>
        <v>3214.62</v>
      </c>
      <c r="S26" s="497">
        <f ca="1">VLOOKUP(S$16,TABLAS!$D$3:$P$60,IF(S15=2025,6,IF(S15=2026,9,IF(S15=2027,12,12))),FALSE)*S12</f>
        <v>3214.62</v>
      </c>
      <c r="T26" s="497">
        <f ca="1">VLOOKUP(T$16,TABLAS!$D$3:$P$60,IF(T15=2025,6,IF(T15=2026,9,IF(T15=2027,12,12))),FALSE)*T12</f>
        <v>3214.62</v>
      </c>
      <c r="U26" s="497">
        <f ca="1">VLOOKUP(U$16,TABLAS!$D$3:$P$60,IF(U15=2025,6,IF(U15=2026,9,IF(U15=2027,12,12))),FALSE)*U12</f>
        <v>3214.62</v>
      </c>
      <c r="V26" s="497">
        <f ca="1">VLOOKUP(V$16,TABLAS!$D$3:$P$60,IF(V15=2025,6,IF(V15=2026,9,IF(V15=2027,12,12))),FALSE)*V12</f>
        <v>3214.62</v>
      </c>
      <c r="W26" s="497">
        <f ca="1">VLOOKUP(W$16,TABLAS!$D$3:$P$60,IF(W15=2025,6,IF(W15=2026,9,IF(W15=2027,12,12))),FALSE)*W12</f>
        <v>3214.62</v>
      </c>
      <c r="X26" s="497">
        <f ca="1">VLOOKUP(X$16,TABLAS!$D$3:$P$60,IF(X15=2025,6,IF(X15=2026,9,IF(X15=2027,12,12))),FALSE)*X12</f>
        <v>3214.62</v>
      </c>
      <c r="Y26" s="497">
        <f ca="1">VLOOKUP(Y$16,TABLAS!$D$3:$P$60,IF(Y15=2025,6,IF(Y15=2026,9,IF(Y15=2027,12,12))),FALSE)*Y12</f>
        <v>3214.62</v>
      </c>
      <c r="Z26" s="497">
        <f ca="1">VLOOKUP(Z$16,TABLAS!$D$3:$P$60,IF(Z15=2025,6,IF(Z15=2026,9,IF(Z15=2027,12,12))),FALSE)*Z12</f>
        <v>3214.62</v>
      </c>
      <c r="AA26" s="497">
        <f ca="1">VLOOKUP(AA$16,TABLAS!$D$3:$P$60,IF(AA15=2025,6,IF(AA15=2026,9,IF(AA15=2027,12,12))),FALSE)*AA12</f>
        <v>3214.62</v>
      </c>
      <c r="AB26" s="497">
        <f ca="1">VLOOKUP(AB$16,TABLAS!$D$3:$P$60,IF(AB15=2025,6,IF(AB15=2026,9,IF(AB15=2027,12,12))),FALSE)*AB12</f>
        <v>3214.62</v>
      </c>
      <c r="AC26" s="497">
        <f ca="1">VLOOKUP(AC$16,TABLAS!$D$3:$P$60,IF(AC15=2025,6,IF(AC15=2026,9,IF(AC15=2027,12,12))),FALSE)*AC12</f>
        <v>3214.62</v>
      </c>
      <c r="AD26" s="497">
        <f ca="1">VLOOKUP(AD$16,TABLAS!$D$3:$P$60,IF(AD15=2025,6,IF(AD15=2026,9,IF(AD15=2027,12,12))),FALSE)*AD12</f>
        <v>3214.62</v>
      </c>
      <c r="AE26" s="497">
        <f ca="1">VLOOKUP(AE$16,TABLAS!$D$3:$P$60,IF(AE15=2025,6,IF(AE15=2026,9,IF(AE15=2027,12,12))),FALSE)*AE12</f>
        <v>3214.62</v>
      </c>
      <c r="AF26" s="497">
        <f ca="1">VLOOKUP(AF$16,TABLAS!$D$3:$P$60,IF(AF15=2025,6,IF(AF15=2026,9,IF(AF15=2027,12,12))),FALSE)*AF12</f>
        <v>3214.62</v>
      </c>
      <c r="AG26" s="497">
        <f ca="1">VLOOKUP(AG$16,TABLAS!$D$3:$P$60,IF(AG15=2025,6,IF(AG15=2026,9,IF(AG15=2027,12,12))),FALSE)*AG12</f>
        <v>3214.62</v>
      </c>
      <c r="AH26" s="497">
        <f ca="1">VLOOKUP(AH$16,TABLAS!$D$3:$P$60,IF(AH15=2025,6,IF(AH15=2026,9,IF(AH15=2027,12,12))),FALSE)*AH12</f>
        <v>3214.62</v>
      </c>
      <c r="AI26" s="497">
        <f ca="1">VLOOKUP(AI$16,TABLAS!$D$3:$P$60,IF(AI15=2025,6,IF(AI15=2026,9,IF(AI15=2027,12,12))),FALSE)*AI12</f>
        <v>3214.62</v>
      </c>
      <c r="AJ26" s="497">
        <f ca="1">VLOOKUP(AJ$16,TABLAS!$D$3:$P$60,IF(AJ15=2025,6,IF(AJ15=2026,9,IF(AJ15=2027,12,12))),FALSE)*AJ12</f>
        <v>3214.62</v>
      </c>
      <c r="AK26" s="497">
        <f ca="1">VLOOKUP(AK$16,TABLAS!$D$3:$P$60,IF(AK15=2025,6,IF(AK15=2026,9,IF(AK15=2027,12,12))),FALSE)*AK12</f>
        <v>3214.62</v>
      </c>
      <c r="AL26" s="497">
        <f ca="1">VLOOKUP(AL$16,TABLAS!$D$3:$P$60,IF(AL15=2025,6,IF(AL15=2026,9,IF(AL15=2027,12,12))),FALSE)*AL12</f>
        <v>3214.62</v>
      </c>
      <c r="AM26" s="497">
        <f ca="1">VLOOKUP(AM$16,TABLAS!$D$3:$P$60,IF(AM15=2025,6,IF(AM15=2026,9,IF(AM15=2027,12,12))),FALSE)*AM12</f>
        <v>3214.62</v>
      </c>
      <c r="AN26" s="497">
        <f ca="1">VLOOKUP(AN$16,TABLAS!$D$3:$P$60,IF(AN15=2025,6,IF(AN15=2026,9,IF(AN15=2027,12,12))),FALSE)*AN12</f>
        <v>3214.62</v>
      </c>
      <c r="AO26" s="497">
        <f ca="1">VLOOKUP(AO$16,TABLAS!$D$3:$P$60,IF(AO15=2025,6,IF(AO15=2026,9,IF(AO15=2027,12,12))),FALSE)*AO12</f>
        <v>3214.62</v>
      </c>
      <c r="AP26" s="497">
        <f ca="1">VLOOKUP(AP$16,TABLAS!$D$3:$P$60,IF(AP15=2025,6,IF(AP15=2026,9,IF(AP15=2027,12,12))),FALSE)*AP12</f>
        <v>3214.62</v>
      </c>
      <c r="AQ26" s="497">
        <f ca="1">VLOOKUP(AQ$16,TABLAS!$D$3:$P$60,IF(AQ15=2025,6,IF(AQ15=2026,9,IF(AQ15=2027,12,12))),FALSE)*AQ12</f>
        <v>3214.62</v>
      </c>
      <c r="AR26" s="497">
        <f ca="1">VLOOKUP(AR$16,TABLAS!$D$3:$P$60,IF(AR15=2025,6,IF(AR15=2026,9,IF(AR15=2027,12,12))),FALSE)*AR12</f>
        <v>3214.62</v>
      </c>
      <c r="AS26" s="497">
        <f ca="1">VLOOKUP(AS$16,TABLAS!$D$3:$P$60,IF(AS15=2025,6,IF(AS15=2026,9,IF(AS15=2027,12,12))),FALSE)*AS12</f>
        <v>3214.62</v>
      </c>
      <c r="AT26" s="497">
        <f ca="1">VLOOKUP(AT$16,TABLAS!$D$3:$P$60,IF(AT15=2025,6,IF(AT15=2026,9,IF(AT15=2027,12,12))),FALSE)*AT12</f>
        <v>3214.62</v>
      </c>
      <c r="AU26" s="497">
        <f ca="1">VLOOKUP(AU$16,TABLAS!$D$3:$P$60,IF(AU15=2025,6,IF(AU15=2026,9,IF(AU15=2027,12,12))),FALSE)*AU12</f>
        <v>3214.62</v>
      </c>
      <c r="AV26" s="497">
        <f ca="1">VLOOKUP(AV$16,TABLAS!$D$3:$P$60,IF(AV15=2025,6,IF(AV15=2026,9,IF(AV15=2027,12,12))),FALSE)*AV12</f>
        <v>3214.62</v>
      </c>
    </row>
    <row r="27" spans="1:48">
      <c r="B27" s="402" t="s">
        <v>483</v>
      </c>
      <c r="C27" s="497">
        <f>$E$7*14</f>
        <v>727.99991298144232</v>
      </c>
      <c r="D27" s="497">
        <f>$C$27*1.03</f>
        <v>749.8399103708856</v>
      </c>
      <c r="E27" s="497">
        <f>$D$27*1.03</f>
        <v>772.33510768201222</v>
      </c>
      <c r="F27" s="497">
        <f>E27</f>
        <v>772.33510768201222</v>
      </c>
      <c r="G27" s="497">
        <f>F27</f>
        <v>772.33510768201222</v>
      </c>
      <c r="H27" s="497">
        <f t="shared" ref="H27:AV27" si="26">G27</f>
        <v>772.33510768201222</v>
      </c>
      <c r="I27" s="497">
        <f t="shared" si="26"/>
        <v>772.33510768201222</v>
      </c>
      <c r="J27" s="497">
        <f t="shared" si="26"/>
        <v>772.33510768201222</v>
      </c>
      <c r="K27" s="497">
        <f t="shared" si="26"/>
        <v>772.33510768201222</v>
      </c>
      <c r="L27" s="497">
        <f t="shared" si="26"/>
        <v>772.33510768201222</v>
      </c>
      <c r="M27" s="497">
        <f t="shared" si="26"/>
        <v>772.33510768201222</v>
      </c>
      <c r="N27" s="497">
        <f t="shared" si="26"/>
        <v>772.33510768201222</v>
      </c>
      <c r="O27" s="497">
        <f t="shared" si="26"/>
        <v>772.33510768201222</v>
      </c>
      <c r="P27" s="497">
        <f t="shared" si="26"/>
        <v>772.33510768201222</v>
      </c>
      <c r="Q27" s="497">
        <f t="shared" si="26"/>
        <v>772.33510768201222</v>
      </c>
      <c r="R27" s="497">
        <f t="shared" si="26"/>
        <v>772.33510768201222</v>
      </c>
      <c r="S27" s="497">
        <f t="shared" si="26"/>
        <v>772.33510768201222</v>
      </c>
      <c r="T27" s="497">
        <f t="shared" si="26"/>
        <v>772.33510768201222</v>
      </c>
      <c r="U27" s="497">
        <f t="shared" si="26"/>
        <v>772.33510768201222</v>
      </c>
      <c r="V27" s="497">
        <f t="shared" si="26"/>
        <v>772.33510768201222</v>
      </c>
      <c r="W27" s="497">
        <f t="shared" si="26"/>
        <v>772.33510768201222</v>
      </c>
      <c r="X27" s="497">
        <f t="shared" si="26"/>
        <v>772.33510768201222</v>
      </c>
      <c r="Y27" s="497">
        <f t="shared" si="26"/>
        <v>772.33510768201222</v>
      </c>
      <c r="Z27" s="497">
        <f t="shared" si="26"/>
        <v>772.33510768201222</v>
      </c>
      <c r="AA27" s="497">
        <f t="shared" si="26"/>
        <v>772.33510768201222</v>
      </c>
      <c r="AB27" s="497">
        <f t="shared" si="26"/>
        <v>772.33510768201222</v>
      </c>
      <c r="AC27" s="497">
        <f t="shared" si="26"/>
        <v>772.33510768201222</v>
      </c>
      <c r="AD27" s="497">
        <f t="shared" si="26"/>
        <v>772.33510768201222</v>
      </c>
      <c r="AE27" s="497">
        <f t="shared" si="26"/>
        <v>772.33510768201222</v>
      </c>
      <c r="AF27" s="497">
        <f t="shared" si="26"/>
        <v>772.33510768201222</v>
      </c>
      <c r="AG27" s="497">
        <f t="shared" si="26"/>
        <v>772.33510768201222</v>
      </c>
      <c r="AH27" s="497">
        <f t="shared" si="26"/>
        <v>772.33510768201222</v>
      </c>
      <c r="AI27" s="497">
        <f t="shared" si="26"/>
        <v>772.33510768201222</v>
      </c>
      <c r="AJ27" s="497">
        <f t="shared" si="26"/>
        <v>772.33510768201222</v>
      </c>
      <c r="AK27" s="497">
        <f t="shared" si="26"/>
        <v>772.33510768201222</v>
      </c>
      <c r="AL27" s="497">
        <f t="shared" si="26"/>
        <v>772.33510768201222</v>
      </c>
      <c r="AM27" s="497">
        <f t="shared" si="26"/>
        <v>772.33510768201222</v>
      </c>
      <c r="AN27" s="497">
        <f t="shared" si="26"/>
        <v>772.33510768201222</v>
      </c>
      <c r="AO27" s="497">
        <f t="shared" si="26"/>
        <v>772.33510768201222</v>
      </c>
      <c r="AP27" s="497">
        <f t="shared" si="26"/>
        <v>772.33510768201222</v>
      </c>
      <c r="AQ27" s="497">
        <f t="shared" si="26"/>
        <v>772.33510768201222</v>
      </c>
      <c r="AR27" s="497">
        <f t="shared" si="26"/>
        <v>772.33510768201222</v>
      </c>
      <c r="AS27" s="497">
        <f t="shared" si="26"/>
        <v>772.33510768201222</v>
      </c>
      <c r="AT27" s="497">
        <f t="shared" si="26"/>
        <v>772.33510768201222</v>
      </c>
      <c r="AU27" s="497">
        <f t="shared" si="26"/>
        <v>772.33510768201222</v>
      </c>
      <c r="AV27" s="497">
        <f t="shared" si="26"/>
        <v>772.33510768201222</v>
      </c>
    </row>
    <row r="28" spans="1:48">
      <c r="B28" s="402" t="s">
        <v>20</v>
      </c>
      <c r="C28" s="497">
        <f ca="1">((C24+C25)*C14)*C12</f>
        <v>0</v>
      </c>
      <c r="D28" s="497">
        <f t="shared" ref="D28:AV28" ca="1" si="27">((D24+D25)*D14)*D12</f>
        <v>772.59849103708859</v>
      </c>
      <c r="E28" s="497">
        <f t="shared" ca="1" si="27"/>
        <v>795.77651076820132</v>
      </c>
      <c r="F28" s="497">
        <f t="shared" ca="1" si="27"/>
        <v>795.77651076820132</v>
      </c>
      <c r="G28" s="497">
        <f t="shared" ca="1" si="27"/>
        <v>1591.5530215364026</v>
      </c>
      <c r="H28" s="497">
        <f t="shared" ca="1" si="27"/>
        <v>1591.5530215364026</v>
      </c>
      <c r="I28" s="497">
        <f t="shared" ca="1" si="27"/>
        <v>1591.5530215364026</v>
      </c>
      <c r="J28" s="497">
        <f t="shared" ca="1" si="27"/>
        <v>2387.3295323046036</v>
      </c>
      <c r="K28" s="497">
        <f t="shared" ca="1" si="27"/>
        <v>2387.3295323046036</v>
      </c>
      <c r="L28" s="497">
        <f t="shared" ca="1" si="27"/>
        <v>2387.3295323046036</v>
      </c>
      <c r="M28" s="497">
        <f t="shared" ca="1" si="27"/>
        <v>3183.1060430728053</v>
      </c>
      <c r="N28" s="497">
        <f t="shared" ca="1" si="27"/>
        <v>3183.1060430728053</v>
      </c>
      <c r="O28" s="497">
        <f t="shared" ca="1" si="27"/>
        <v>3183.1060430728053</v>
      </c>
      <c r="P28" s="497">
        <f t="shared" ca="1" si="27"/>
        <v>3978.8825538410065</v>
      </c>
      <c r="Q28" s="497">
        <f t="shared" ca="1" si="27"/>
        <v>3978.8825538410065</v>
      </c>
      <c r="R28" s="497">
        <f t="shared" ca="1" si="27"/>
        <v>3978.8825538410065</v>
      </c>
      <c r="S28" s="497">
        <f t="shared" ca="1" si="27"/>
        <v>5570.4355753774089</v>
      </c>
      <c r="T28" s="497">
        <f t="shared" ca="1" si="27"/>
        <v>5570.4355753774089</v>
      </c>
      <c r="U28" s="497">
        <f t="shared" ca="1" si="27"/>
        <v>5570.4355753774089</v>
      </c>
      <c r="V28" s="497">
        <f t="shared" ca="1" si="27"/>
        <v>7161.9885969138122</v>
      </c>
      <c r="W28" s="497">
        <f t="shared" ca="1" si="27"/>
        <v>7161.9885969138122</v>
      </c>
      <c r="X28" s="497">
        <f t="shared" ca="1" si="27"/>
        <v>7161.9885969138122</v>
      </c>
      <c r="Y28" s="497">
        <f t="shared" ca="1" si="27"/>
        <v>8753.5416184502155</v>
      </c>
      <c r="Z28" s="497">
        <f t="shared" ca="1" si="27"/>
        <v>8753.5416184502155</v>
      </c>
      <c r="AA28" s="497">
        <f t="shared" ca="1" si="27"/>
        <v>8753.5416184502155</v>
      </c>
      <c r="AB28" s="497">
        <f t="shared" ca="1" si="27"/>
        <v>9549.3181292184145</v>
      </c>
      <c r="AC28" s="497">
        <f t="shared" ca="1" si="27"/>
        <v>9549.3181292184145</v>
      </c>
      <c r="AD28" s="497">
        <f t="shared" ca="1" si="27"/>
        <v>9549.3181292184145</v>
      </c>
      <c r="AE28" s="497">
        <f t="shared" ca="1" si="27"/>
        <v>9549.3181292184145</v>
      </c>
      <c r="AF28" s="497">
        <f t="shared" ca="1" si="27"/>
        <v>9549.3181292184145</v>
      </c>
      <c r="AG28" s="497">
        <f t="shared" ca="1" si="27"/>
        <v>9549.3181292184145</v>
      </c>
      <c r="AH28" s="497">
        <f t="shared" ca="1" si="27"/>
        <v>9549.3181292184145</v>
      </c>
      <c r="AI28" s="497">
        <f t="shared" ca="1" si="27"/>
        <v>9549.3181292184145</v>
      </c>
      <c r="AJ28" s="497">
        <f t="shared" ca="1" si="27"/>
        <v>9549.3181292184145</v>
      </c>
      <c r="AK28" s="497">
        <f t="shared" ca="1" si="27"/>
        <v>9549.3181292184145</v>
      </c>
      <c r="AL28" s="497">
        <f t="shared" ca="1" si="27"/>
        <v>9549.3181292184145</v>
      </c>
      <c r="AM28" s="497">
        <f t="shared" ca="1" si="27"/>
        <v>9549.3181292184145</v>
      </c>
      <c r="AN28" s="497">
        <f t="shared" ca="1" si="27"/>
        <v>9549.3181292184145</v>
      </c>
      <c r="AO28" s="497">
        <f t="shared" ca="1" si="27"/>
        <v>9549.3181292184145</v>
      </c>
      <c r="AP28" s="497">
        <f t="shared" ca="1" si="27"/>
        <v>9549.3181292184145</v>
      </c>
      <c r="AQ28" s="497">
        <f t="shared" ca="1" si="27"/>
        <v>9549.3181292184145</v>
      </c>
      <c r="AR28" s="497">
        <f t="shared" ca="1" si="27"/>
        <v>9549.3181292184145</v>
      </c>
      <c r="AS28" s="497">
        <f t="shared" ca="1" si="27"/>
        <v>9549.3181292184145</v>
      </c>
      <c r="AT28" s="497">
        <f t="shared" ca="1" si="27"/>
        <v>9549.3181292184145</v>
      </c>
      <c r="AU28" s="497">
        <f t="shared" ca="1" si="27"/>
        <v>9549.3181292184145</v>
      </c>
      <c r="AV28" s="497">
        <f t="shared" ca="1" si="27"/>
        <v>9549.3181292184145</v>
      </c>
    </row>
    <row r="29" spans="1:48">
      <c r="A29" s="498"/>
      <c r="B29" s="499" t="s">
        <v>484</v>
      </c>
      <c r="C29" s="500">
        <f>$I$6*14</f>
        <v>2800</v>
      </c>
      <c r="D29" s="500">
        <f t="shared" ref="D29:AC29" ca="1" si="28">IF(C29&gt;=D18,C29-D18,0)</f>
        <v>1458.4815167945794</v>
      </c>
      <c r="E29" s="500">
        <f t="shared" ca="1" si="28"/>
        <v>849.31430513008695</v>
      </c>
      <c r="F29" s="500">
        <f t="shared" ca="1" si="28"/>
        <v>849.31430513008695</v>
      </c>
      <c r="G29" s="500">
        <f t="shared" ca="1" si="28"/>
        <v>53.537794361885631</v>
      </c>
      <c r="H29" s="500">
        <f t="shared" ca="1" si="28"/>
        <v>53.537794361885631</v>
      </c>
      <c r="I29" s="500">
        <f t="shared" ca="1" si="28"/>
        <v>53.537794361885631</v>
      </c>
      <c r="J29" s="500">
        <f t="shared" ca="1" si="28"/>
        <v>0</v>
      </c>
      <c r="K29" s="500">
        <f t="shared" ca="1" si="28"/>
        <v>0</v>
      </c>
      <c r="L29" s="500">
        <f t="shared" ca="1" si="28"/>
        <v>0</v>
      </c>
      <c r="M29" s="500">
        <f t="shared" ca="1" si="28"/>
        <v>0</v>
      </c>
      <c r="N29" s="500">
        <f t="shared" ca="1" si="28"/>
        <v>0</v>
      </c>
      <c r="O29" s="500">
        <f t="shared" ca="1" si="28"/>
        <v>0</v>
      </c>
      <c r="P29" s="500">
        <f t="shared" ca="1" si="28"/>
        <v>0</v>
      </c>
      <c r="Q29" s="500">
        <f t="shared" ca="1" si="28"/>
        <v>0</v>
      </c>
      <c r="R29" s="500">
        <f t="shared" ca="1" si="28"/>
        <v>0</v>
      </c>
      <c r="S29" s="500">
        <f t="shared" ca="1" si="28"/>
        <v>0</v>
      </c>
      <c r="T29" s="500">
        <f t="shared" ca="1" si="28"/>
        <v>0</v>
      </c>
      <c r="U29" s="500">
        <f t="shared" ca="1" si="28"/>
        <v>0</v>
      </c>
      <c r="V29" s="500">
        <f t="shared" ca="1" si="28"/>
        <v>0</v>
      </c>
      <c r="W29" s="500">
        <f t="shared" ca="1" si="28"/>
        <v>0</v>
      </c>
      <c r="X29" s="500">
        <f t="shared" ca="1" si="28"/>
        <v>0</v>
      </c>
      <c r="Y29" s="500">
        <f t="shared" ca="1" si="28"/>
        <v>0</v>
      </c>
      <c r="Z29" s="500">
        <f t="shared" ca="1" si="28"/>
        <v>0</v>
      </c>
      <c r="AA29" s="500">
        <f t="shared" ca="1" si="28"/>
        <v>0</v>
      </c>
      <c r="AB29" s="500">
        <f t="shared" ca="1" si="28"/>
        <v>0</v>
      </c>
      <c r="AC29" s="500">
        <f t="shared" ca="1" si="28"/>
        <v>0</v>
      </c>
      <c r="AD29" s="500">
        <f t="shared" ref="AD29:AV29" ca="1" si="29">IF(AC29&gt;=AD18,AC29-AD18,0)</f>
        <v>0</v>
      </c>
      <c r="AE29" s="500">
        <f t="shared" ca="1" si="29"/>
        <v>0</v>
      </c>
      <c r="AF29" s="500">
        <f t="shared" ca="1" si="29"/>
        <v>0</v>
      </c>
      <c r="AG29" s="500">
        <f t="shared" ca="1" si="29"/>
        <v>0</v>
      </c>
      <c r="AH29" s="500">
        <f t="shared" ca="1" si="29"/>
        <v>0</v>
      </c>
      <c r="AI29" s="500">
        <f t="shared" ca="1" si="29"/>
        <v>0</v>
      </c>
      <c r="AJ29" s="500">
        <f t="shared" ca="1" si="29"/>
        <v>0</v>
      </c>
      <c r="AK29" s="500">
        <f t="shared" ca="1" si="29"/>
        <v>0</v>
      </c>
      <c r="AL29" s="500">
        <f t="shared" ca="1" si="29"/>
        <v>0</v>
      </c>
      <c r="AM29" s="500">
        <f t="shared" ca="1" si="29"/>
        <v>0</v>
      </c>
      <c r="AN29" s="500">
        <f t="shared" ca="1" si="29"/>
        <v>0</v>
      </c>
      <c r="AO29" s="500">
        <f t="shared" ca="1" si="29"/>
        <v>0</v>
      </c>
      <c r="AP29" s="500">
        <f t="shared" ca="1" si="29"/>
        <v>0</v>
      </c>
      <c r="AQ29" s="500">
        <f t="shared" ca="1" si="29"/>
        <v>0</v>
      </c>
      <c r="AR29" s="500">
        <f t="shared" ca="1" si="29"/>
        <v>0</v>
      </c>
      <c r="AS29" s="500">
        <f t="shared" ca="1" si="29"/>
        <v>0</v>
      </c>
      <c r="AT29" s="500">
        <f t="shared" ca="1" si="29"/>
        <v>0</v>
      </c>
      <c r="AU29" s="500">
        <f t="shared" ca="1" si="29"/>
        <v>0</v>
      </c>
      <c r="AV29" s="500">
        <f t="shared" ca="1" si="29"/>
        <v>0</v>
      </c>
    </row>
    <row r="30" spans="1:48">
      <c r="A30" s="498"/>
      <c r="B30" s="499" t="s">
        <v>601</v>
      </c>
      <c r="C30" s="500">
        <f>$I$7*14</f>
        <v>2100</v>
      </c>
      <c r="D30" s="500">
        <f t="shared" ref="D30:AC30" ca="1" si="30">IF(D19=0,C30,IF(D29&gt;0,C30,IF(C29&lt;D20,IF(C30-D19&lt;0,0,C30-D19),IF(C30-(D19-(C29-D20))&lt;0,0,C30-(D19-(C29-D20))))))</f>
        <v>2100</v>
      </c>
      <c r="E30" s="500">
        <f t="shared" ca="1" si="30"/>
        <v>2100</v>
      </c>
      <c r="F30" s="500">
        <f t="shared" ca="1" si="30"/>
        <v>2100</v>
      </c>
      <c r="G30" s="500">
        <f t="shared" ca="1" si="30"/>
        <v>2100</v>
      </c>
      <c r="H30" s="500">
        <f t="shared" ca="1" si="30"/>
        <v>2100</v>
      </c>
      <c r="I30" s="500">
        <f t="shared" ca="1" si="30"/>
        <v>2100</v>
      </c>
      <c r="J30" s="500">
        <f t="shared" ca="1" si="30"/>
        <v>1357.7612835936845</v>
      </c>
      <c r="K30" s="500">
        <f t="shared" ca="1" si="30"/>
        <v>1357.7612835936845</v>
      </c>
      <c r="L30" s="500">
        <f t="shared" ca="1" si="30"/>
        <v>1357.7612835936845</v>
      </c>
      <c r="M30" s="500">
        <f t="shared" ca="1" si="30"/>
        <v>561.98477282548299</v>
      </c>
      <c r="N30" s="500">
        <f t="shared" ca="1" si="30"/>
        <v>561.98477282548299</v>
      </c>
      <c r="O30" s="500">
        <f t="shared" ca="1" si="30"/>
        <v>561.98477282548299</v>
      </c>
      <c r="P30" s="500">
        <f t="shared" ca="1" si="30"/>
        <v>0</v>
      </c>
      <c r="Q30" s="500">
        <f t="shared" ca="1" si="30"/>
        <v>0</v>
      </c>
      <c r="R30" s="500">
        <f t="shared" ca="1" si="30"/>
        <v>0</v>
      </c>
      <c r="S30" s="500">
        <f t="shared" ca="1" si="30"/>
        <v>0</v>
      </c>
      <c r="T30" s="500">
        <f t="shared" ca="1" si="30"/>
        <v>0</v>
      </c>
      <c r="U30" s="500">
        <f t="shared" ca="1" si="30"/>
        <v>0</v>
      </c>
      <c r="V30" s="500">
        <f t="shared" ca="1" si="30"/>
        <v>0</v>
      </c>
      <c r="W30" s="500">
        <f t="shared" ca="1" si="30"/>
        <v>0</v>
      </c>
      <c r="X30" s="500">
        <f t="shared" ca="1" si="30"/>
        <v>0</v>
      </c>
      <c r="Y30" s="500">
        <f t="shared" ca="1" si="30"/>
        <v>0</v>
      </c>
      <c r="Z30" s="500">
        <f t="shared" ca="1" si="30"/>
        <v>0</v>
      </c>
      <c r="AA30" s="500">
        <f t="shared" ca="1" si="30"/>
        <v>0</v>
      </c>
      <c r="AB30" s="500">
        <f t="shared" ca="1" si="30"/>
        <v>0</v>
      </c>
      <c r="AC30" s="500">
        <f t="shared" ca="1" si="30"/>
        <v>0</v>
      </c>
      <c r="AD30" s="500">
        <f t="shared" ref="AD30:AV30" ca="1" si="31">IF(AD19=0,AC30,IF(AD29&gt;0,AC30,IF(AC29&lt;AD20,IF(AC30-AD19&lt;0,0,AC30-AD19),IF(AC30-(AD19-(AC29-AD20))&lt;0,0,AC30-(AD19-(AC29-AD20))))))</f>
        <v>0</v>
      </c>
      <c r="AE30" s="500">
        <f t="shared" ca="1" si="31"/>
        <v>0</v>
      </c>
      <c r="AF30" s="500">
        <f t="shared" ca="1" si="31"/>
        <v>0</v>
      </c>
      <c r="AG30" s="500">
        <f t="shared" ca="1" si="31"/>
        <v>0</v>
      </c>
      <c r="AH30" s="500">
        <f t="shared" ca="1" si="31"/>
        <v>0</v>
      </c>
      <c r="AI30" s="500">
        <f t="shared" ca="1" si="31"/>
        <v>0</v>
      </c>
      <c r="AJ30" s="500">
        <f t="shared" ca="1" si="31"/>
        <v>0</v>
      </c>
      <c r="AK30" s="500">
        <f t="shared" ca="1" si="31"/>
        <v>0</v>
      </c>
      <c r="AL30" s="500">
        <f t="shared" ca="1" si="31"/>
        <v>0</v>
      </c>
      <c r="AM30" s="500">
        <f t="shared" ca="1" si="31"/>
        <v>0</v>
      </c>
      <c r="AN30" s="500">
        <f t="shared" ca="1" si="31"/>
        <v>0</v>
      </c>
      <c r="AO30" s="500">
        <f t="shared" ca="1" si="31"/>
        <v>0</v>
      </c>
      <c r="AP30" s="500">
        <f t="shared" ca="1" si="31"/>
        <v>0</v>
      </c>
      <c r="AQ30" s="500">
        <f t="shared" ca="1" si="31"/>
        <v>0</v>
      </c>
      <c r="AR30" s="500">
        <f t="shared" ca="1" si="31"/>
        <v>0</v>
      </c>
      <c r="AS30" s="500">
        <f t="shared" ca="1" si="31"/>
        <v>0</v>
      </c>
      <c r="AT30" s="500">
        <f t="shared" ca="1" si="31"/>
        <v>0</v>
      </c>
      <c r="AU30" s="500">
        <f t="shared" ca="1" si="31"/>
        <v>0</v>
      </c>
      <c r="AV30" s="500">
        <f t="shared" ca="1" si="31"/>
        <v>0</v>
      </c>
    </row>
    <row r="31" spans="1:48">
      <c r="A31" s="489"/>
      <c r="B31" s="402" t="s">
        <v>22</v>
      </c>
      <c r="C31" s="497">
        <f>$L$6*12</f>
        <v>204</v>
      </c>
      <c r="D31" s="497">
        <f>$C$31*1.03</f>
        <v>210.12</v>
      </c>
      <c r="E31" s="497">
        <f>$D$31*1.03</f>
        <v>216.42360000000002</v>
      </c>
      <c r="F31" s="497">
        <f>E31</f>
        <v>216.42360000000002</v>
      </c>
      <c r="G31" s="497">
        <f>F31</f>
        <v>216.42360000000002</v>
      </c>
      <c r="H31" s="497">
        <f t="shared" ref="H31:AV31" si="32">G31</f>
        <v>216.42360000000002</v>
      </c>
      <c r="I31" s="497">
        <f t="shared" si="32"/>
        <v>216.42360000000002</v>
      </c>
      <c r="J31" s="497">
        <f t="shared" si="32"/>
        <v>216.42360000000002</v>
      </c>
      <c r="K31" s="497">
        <f t="shared" si="32"/>
        <v>216.42360000000002</v>
      </c>
      <c r="L31" s="497">
        <f t="shared" si="32"/>
        <v>216.42360000000002</v>
      </c>
      <c r="M31" s="497">
        <f t="shared" si="32"/>
        <v>216.42360000000002</v>
      </c>
      <c r="N31" s="497">
        <f t="shared" si="32"/>
        <v>216.42360000000002</v>
      </c>
      <c r="O31" s="497">
        <f t="shared" si="32"/>
        <v>216.42360000000002</v>
      </c>
      <c r="P31" s="497">
        <f t="shared" si="32"/>
        <v>216.42360000000002</v>
      </c>
      <c r="Q31" s="497">
        <f t="shared" si="32"/>
        <v>216.42360000000002</v>
      </c>
      <c r="R31" s="497">
        <f t="shared" si="32"/>
        <v>216.42360000000002</v>
      </c>
      <c r="S31" s="497">
        <f t="shared" si="32"/>
        <v>216.42360000000002</v>
      </c>
      <c r="T31" s="497">
        <f t="shared" si="32"/>
        <v>216.42360000000002</v>
      </c>
      <c r="U31" s="497">
        <f t="shared" si="32"/>
        <v>216.42360000000002</v>
      </c>
      <c r="V31" s="497">
        <f t="shared" si="32"/>
        <v>216.42360000000002</v>
      </c>
      <c r="W31" s="497">
        <f t="shared" si="32"/>
        <v>216.42360000000002</v>
      </c>
      <c r="X31" s="497">
        <f t="shared" si="32"/>
        <v>216.42360000000002</v>
      </c>
      <c r="Y31" s="497">
        <f t="shared" si="32"/>
        <v>216.42360000000002</v>
      </c>
      <c r="Z31" s="497">
        <f t="shared" si="32"/>
        <v>216.42360000000002</v>
      </c>
      <c r="AA31" s="497">
        <f t="shared" si="32"/>
        <v>216.42360000000002</v>
      </c>
      <c r="AB31" s="497">
        <f t="shared" si="32"/>
        <v>216.42360000000002</v>
      </c>
      <c r="AC31" s="497">
        <f t="shared" si="32"/>
        <v>216.42360000000002</v>
      </c>
      <c r="AD31" s="497">
        <f t="shared" si="32"/>
        <v>216.42360000000002</v>
      </c>
      <c r="AE31" s="497">
        <f t="shared" si="32"/>
        <v>216.42360000000002</v>
      </c>
      <c r="AF31" s="497">
        <f t="shared" si="32"/>
        <v>216.42360000000002</v>
      </c>
      <c r="AG31" s="497">
        <f t="shared" si="32"/>
        <v>216.42360000000002</v>
      </c>
      <c r="AH31" s="497">
        <f t="shared" si="32"/>
        <v>216.42360000000002</v>
      </c>
      <c r="AI31" s="497">
        <f t="shared" si="32"/>
        <v>216.42360000000002</v>
      </c>
      <c r="AJ31" s="497">
        <f t="shared" si="32"/>
        <v>216.42360000000002</v>
      </c>
      <c r="AK31" s="497">
        <f t="shared" si="32"/>
        <v>216.42360000000002</v>
      </c>
      <c r="AL31" s="497">
        <f t="shared" si="32"/>
        <v>216.42360000000002</v>
      </c>
      <c r="AM31" s="497">
        <f t="shared" si="32"/>
        <v>216.42360000000002</v>
      </c>
      <c r="AN31" s="497">
        <f t="shared" si="32"/>
        <v>216.42360000000002</v>
      </c>
      <c r="AO31" s="497">
        <f t="shared" si="32"/>
        <v>216.42360000000002</v>
      </c>
      <c r="AP31" s="497">
        <f t="shared" si="32"/>
        <v>216.42360000000002</v>
      </c>
      <c r="AQ31" s="497">
        <f t="shared" si="32"/>
        <v>216.42360000000002</v>
      </c>
      <c r="AR31" s="497">
        <f t="shared" si="32"/>
        <v>216.42360000000002</v>
      </c>
      <c r="AS31" s="497">
        <f t="shared" si="32"/>
        <v>216.42360000000002</v>
      </c>
      <c r="AT31" s="497">
        <f t="shared" si="32"/>
        <v>216.42360000000002</v>
      </c>
      <c r="AU31" s="497">
        <f t="shared" si="32"/>
        <v>216.42360000000002</v>
      </c>
      <c r="AV31" s="497">
        <f t="shared" si="32"/>
        <v>216.42360000000002</v>
      </c>
    </row>
    <row r="32" spans="1:48">
      <c r="A32" s="489"/>
      <c r="B32" s="402" t="s">
        <v>485</v>
      </c>
      <c r="C32" s="497">
        <f>$L$7*12</f>
        <v>3600</v>
      </c>
      <c r="D32" s="497">
        <f>$C$32</f>
        <v>3600</v>
      </c>
      <c r="E32" s="497">
        <f t="shared" ref="E32:AV32" si="33">$C$32</f>
        <v>3600</v>
      </c>
      <c r="F32" s="497">
        <f t="shared" si="33"/>
        <v>3600</v>
      </c>
      <c r="G32" s="497">
        <f t="shared" si="33"/>
        <v>3600</v>
      </c>
      <c r="H32" s="497">
        <f t="shared" si="33"/>
        <v>3600</v>
      </c>
      <c r="I32" s="497">
        <f t="shared" si="33"/>
        <v>3600</v>
      </c>
      <c r="J32" s="497">
        <f t="shared" si="33"/>
        <v>3600</v>
      </c>
      <c r="K32" s="497">
        <f t="shared" si="33"/>
        <v>3600</v>
      </c>
      <c r="L32" s="497">
        <f t="shared" si="33"/>
        <v>3600</v>
      </c>
      <c r="M32" s="497">
        <f t="shared" si="33"/>
        <v>3600</v>
      </c>
      <c r="N32" s="497">
        <f t="shared" si="33"/>
        <v>3600</v>
      </c>
      <c r="O32" s="497">
        <f t="shared" si="33"/>
        <v>3600</v>
      </c>
      <c r="P32" s="497">
        <f t="shared" si="33"/>
        <v>3600</v>
      </c>
      <c r="Q32" s="497">
        <f t="shared" si="33"/>
        <v>3600</v>
      </c>
      <c r="R32" s="497">
        <f t="shared" si="33"/>
        <v>3600</v>
      </c>
      <c r="S32" s="497">
        <f t="shared" si="33"/>
        <v>3600</v>
      </c>
      <c r="T32" s="497">
        <f t="shared" si="33"/>
        <v>3600</v>
      </c>
      <c r="U32" s="497">
        <f t="shared" si="33"/>
        <v>3600</v>
      </c>
      <c r="V32" s="497">
        <f t="shared" si="33"/>
        <v>3600</v>
      </c>
      <c r="W32" s="497">
        <f t="shared" si="33"/>
        <v>3600</v>
      </c>
      <c r="X32" s="497">
        <f t="shared" si="33"/>
        <v>3600</v>
      </c>
      <c r="Y32" s="497">
        <f t="shared" si="33"/>
        <v>3600</v>
      </c>
      <c r="Z32" s="497">
        <f t="shared" si="33"/>
        <v>3600</v>
      </c>
      <c r="AA32" s="497">
        <f t="shared" si="33"/>
        <v>3600</v>
      </c>
      <c r="AB32" s="497">
        <f t="shared" si="33"/>
        <v>3600</v>
      </c>
      <c r="AC32" s="497">
        <f t="shared" si="33"/>
        <v>3600</v>
      </c>
      <c r="AD32" s="497">
        <f t="shared" si="33"/>
        <v>3600</v>
      </c>
      <c r="AE32" s="497">
        <f t="shared" si="33"/>
        <v>3600</v>
      </c>
      <c r="AF32" s="497">
        <f t="shared" si="33"/>
        <v>3600</v>
      </c>
      <c r="AG32" s="497">
        <f t="shared" si="33"/>
        <v>3600</v>
      </c>
      <c r="AH32" s="497">
        <f t="shared" si="33"/>
        <v>3600</v>
      </c>
      <c r="AI32" s="497">
        <f t="shared" si="33"/>
        <v>3600</v>
      </c>
      <c r="AJ32" s="497">
        <f t="shared" si="33"/>
        <v>3600</v>
      </c>
      <c r="AK32" s="497">
        <f t="shared" si="33"/>
        <v>3600</v>
      </c>
      <c r="AL32" s="497">
        <f t="shared" si="33"/>
        <v>3600</v>
      </c>
      <c r="AM32" s="497">
        <f t="shared" si="33"/>
        <v>3600</v>
      </c>
      <c r="AN32" s="497">
        <f t="shared" si="33"/>
        <v>3600</v>
      </c>
      <c r="AO32" s="497">
        <f t="shared" si="33"/>
        <v>3600</v>
      </c>
      <c r="AP32" s="497">
        <f t="shared" si="33"/>
        <v>3600</v>
      </c>
      <c r="AQ32" s="497">
        <f t="shared" si="33"/>
        <v>3600</v>
      </c>
      <c r="AR32" s="497">
        <f t="shared" si="33"/>
        <v>3600</v>
      </c>
      <c r="AS32" s="497">
        <f t="shared" si="33"/>
        <v>3600</v>
      </c>
      <c r="AT32" s="497">
        <f t="shared" si="33"/>
        <v>3600</v>
      </c>
      <c r="AU32" s="497">
        <f t="shared" si="33"/>
        <v>3600</v>
      </c>
      <c r="AV32" s="497">
        <f t="shared" si="33"/>
        <v>3600</v>
      </c>
    </row>
    <row r="33" spans="2:48">
      <c r="B33" s="470" t="s">
        <v>440</v>
      </c>
      <c r="C33" s="496">
        <f t="shared" ref="C33:AC33" ca="1" si="34">SUM(C24:C32)</f>
        <v>27463.999738944327</v>
      </c>
      <c r="D33" s="496">
        <f t="shared" ca="1" si="34"/>
        <v>27463.999738944327</v>
      </c>
      <c r="E33" s="496">
        <f t="shared" ca="1" si="34"/>
        <v>27463.999738944323</v>
      </c>
      <c r="F33" s="496">
        <f t="shared" ca="1" si="34"/>
        <v>27463.999738944323</v>
      </c>
      <c r="G33" s="496">
        <f t="shared" ca="1" si="34"/>
        <v>27463.99973894432</v>
      </c>
      <c r="H33" s="496">
        <f t="shared" ca="1" si="34"/>
        <v>27463.99973894432</v>
      </c>
      <c r="I33" s="496">
        <f t="shared" ca="1" si="34"/>
        <v>27463.99973894432</v>
      </c>
      <c r="J33" s="496">
        <f t="shared" ca="1" si="34"/>
        <v>27463.999738944323</v>
      </c>
      <c r="K33" s="496">
        <f t="shared" ca="1" si="34"/>
        <v>27463.999738944323</v>
      </c>
      <c r="L33" s="496">
        <f t="shared" ca="1" si="34"/>
        <v>27463.999738944323</v>
      </c>
      <c r="M33" s="496">
        <f t="shared" ca="1" si="34"/>
        <v>27463.999738944323</v>
      </c>
      <c r="N33" s="496">
        <f t="shared" ca="1" si="34"/>
        <v>27463.999738944323</v>
      </c>
      <c r="O33" s="496">
        <f t="shared" ca="1" si="34"/>
        <v>27463.999738944323</v>
      </c>
      <c r="P33" s="496">
        <f t="shared" ca="1" si="34"/>
        <v>27697.79147688704</v>
      </c>
      <c r="Q33" s="496">
        <f t="shared" ca="1" si="34"/>
        <v>27697.79147688704</v>
      </c>
      <c r="R33" s="496">
        <f t="shared" ca="1" si="34"/>
        <v>27697.79147688704</v>
      </c>
      <c r="S33" s="496">
        <f t="shared" ca="1" si="34"/>
        <v>29289.344498423441</v>
      </c>
      <c r="T33" s="496">
        <f t="shared" ca="1" si="34"/>
        <v>29289.344498423441</v>
      </c>
      <c r="U33" s="496">
        <f t="shared" ca="1" si="34"/>
        <v>29289.344498423441</v>
      </c>
      <c r="V33" s="496">
        <f t="shared" ca="1" si="34"/>
        <v>30880.897519959846</v>
      </c>
      <c r="W33" s="496">
        <f t="shared" ca="1" si="34"/>
        <v>30880.897519959846</v>
      </c>
      <c r="X33" s="496">
        <f t="shared" ca="1" si="34"/>
        <v>30880.897519959846</v>
      </c>
      <c r="Y33" s="496">
        <f t="shared" ca="1" si="34"/>
        <v>32472.450541496251</v>
      </c>
      <c r="Z33" s="496">
        <f t="shared" ca="1" si="34"/>
        <v>32472.450541496251</v>
      </c>
      <c r="AA33" s="496">
        <f t="shared" ca="1" si="34"/>
        <v>32472.450541496251</v>
      </c>
      <c r="AB33" s="496">
        <f t="shared" ca="1" si="34"/>
        <v>33268.227052264454</v>
      </c>
      <c r="AC33" s="496">
        <f t="shared" ca="1" si="34"/>
        <v>33268.227052264454</v>
      </c>
      <c r="AD33" s="496">
        <f t="shared" ref="AD33:AL33" ca="1" si="35">SUM(AD24:AD32)</f>
        <v>33268.227052264454</v>
      </c>
      <c r="AE33" s="496">
        <f t="shared" ca="1" si="35"/>
        <v>33268.227052264454</v>
      </c>
      <c r="AF33" s="496">
        <f t="shared" ca="1" si="35"/>
        <v>33268.227052264454</v>
      </c>
      <c r="AG33" s="496">
        <f t="shared" ca="1" si="35"/>
        <v>33268.227052264454</v>
      </c>
      <c r="AH33" s="496">
        <f t="shared" ca="1" si="35"/>
        <v>33268.227052264454</v>
      </c>
      <c r="AI33" s="496">
        <f t="shared" ca="1" si="35"/>
        <v>33268.227052264454</v>
      </c>
      <c r="AJ33" s="496">
        <f t="shared" ca="1" si="35"/>
        <v>33268.227052264454</v>
      </c>
      <c r="AK33" s="496">
        <f t="shared" ca="1" si="35"/>
        <v>33268.227052264454</v>
      </c>
      <c r="AL33" s="496">
        <f t="shared" ca="1" si="35"/>
        <v>33268.227052264454</v>
      </c>
      <c r="AM33" s="496">
        <f t="shared" ref="AM33:AR33" ca="1" si="36">SUM(AM24:AM32)</f>
        <v>33268.227052264454</v>
      </c>
      <c r="AN33" s="496">
        <f t="shared" ca="1" si="36"/>
        <v>33268.227052264454</v>
      </c>
      <c r="AO33" s="496">
        <f t="shared" ca="1" si="36"/>
        <v>33268.227052264454</v>
      </c>
      <c r="AP33" s="496">
        <f t="shared" ca="1" si="36"/>
        <v>33268.227052264454</v>
      </c>
      <c r="AQ33" s="496">
        <f t="shared" ca="1" si="36"/>
        <v>33268.227052264454</v>
      </c>
      <c r="AR33" s="496">
        <f t="shared" ca="1" si="36"/>
        <v>33268.227052264454</v>
      </c>
      <c r="AS33" s="496">
        <f ca="1">SUM(AS24:AS32)</f>
        <v>33268.227052264454</v>
      </c>
      <c r="AT33" s="496">
        <f ca="1">SUM(AT24:AT32)</f>
        <v>33268.227052264454</v>
      </c>
      <c r="AU33" s="496">
        <f ca="1">SUM(AU24:AU32)</f>
        <v>33268.227052264454</v>
      </c>
      <c r="AV33" s="496">
        <f ca="1">SUM(AV24:AV32)</f>
        <v>33268.227052264454</v>
      </c>
    </row>
    <row r="34" spans="2:48">
      <c r="B34" s="402" t="s">
        <v>530</v>
      </c>
      <c r="C34" s="501"/>
      <c r="D34" s="501">
        <f ca="1">D33-C33</f>
        <v>0</v>
      </c>
      <c r="E34" s="501">
        <f t="shared" ref="E34:AC34" ca="1" si="37">E33-D33</f>
        <v>0</v>
      </c>
      <c r="F34" s="501">
        <f t="shared" ca="1" si="37"/>
        <v>0</v>
      </c>
      <c r="G34" s="501">
        <f t="shared" ca="1" si="37"/>
        <v>0</v>
      </c>
      <c r="H34" s="501">
        <f t="shared" ca="1" si="37"/>
        <v>0</v>
      </c>
      <c r="I34" s="501">
        <f t="shared" ca="1" si="37"/>
        <v>0</v>
      </c>
      <c r="J34" s="501">
        <f t="shared" ca="1" si="37"/>
        <v>0</v>
      </c>
      <c r="K34" s="501">
        <f t="shared" ca="1" si="37"/>
        <v>0</v>
      </c>
      <c r="L34" s="501">
        <f t="shared" ca="1" si="37"/>
        <v>0</v>
      </c>
      <c r="M34" s="501">
        <f t="shared" ca="1" si="37"/>
        <v>0</v>
      </c>
      <c r="N34" s="501">
        <f t="shared" ca="1" si="37"/>
        <v>0</v>
      </c>
      <c r="O34" s="501">
        <f t="shared" ca="1" si="37"/>
        <v>0</v>
      </c>
      <c r="P34" s="501">
        <f t="shared" ca="1" si="37"/>
        <v>233.79173794271628</v>
      </c>
      <c r="Q34" s="501">
        <f t="shared" ca="1" si="37"/>
        <v>0</v>
      </c>
      <c r="R34" s="501">
        <f t="shared" ca="1" si="37"/>
        <v>0</v>
      </c>
      <c r="S34" s="501">
        <f t="shared" ca="1" si="37"/>
        <v>1591.5530215364015</v>
      </c>
      <c r="T34" s="501">
        <f t="shared" ca="1" si="37"/>
        <v>0</v>
      </c>
      <c r="U34" s="501">
        <f t="shared" ca="1" si="37"/>
        <v>0</v>
      </c>
      <c r="V34" s="501">
        <f t="shared" ca="1" si="37"/>
        <v>1591.5530215364051</v>
      </c>
      <c r="W34" s="501">
        <f t="shared" ca="1" si="37"/>
        <v>0</v>
      </c>
      <c r="X34" s="501">
        <f t="shared" ca="1" si="37"/>
        <v>0</v>
      </c>
      <c r="Y34" s="501">
        <f t="shared" ca="1" si="37"/>
        <v>1591.5530215364051</v>
      </c>
      <c r="Z34" s="501">
        <f t="shared" ca="1" si="37"/>
        <v>0</v>
      </c>
      <c r="AA34" s="501">
        <f t="shared" ca="1" si="37"/>
        <v>0</v>
      </c>
      <c r="AB34" s="501">
        <f t="shared" ca="1" si="37"/>
        <v>795.77651076820257</v>
      </c>
      <c r="AC34" s="501">
        <f t="shared" ca="1" si="37"/>
        <v>0</v>
      </c>
      <c r="AD34" s="501">
        <f t="shared" ref="AD34:AV34" ca="1" si="38">AD33-AC33</f>
        <v>0</v>
      </c>
      <c r="AE34" s="501">
        <f t="shared" ca="1" si="38"/>
        <v>0</v>
      </c>
      <c r="AF34" s="501">
        <f t="shared" ca="1" si="38"/>
        <v>0</v>
      </c>
      <c r="AG34" s="501">
        <f t="shared" ca="1" si="38"/>
        <v>0</v>
      </c>
      <c r="AH34" s="501">
        <f t="shared" ca="1" si="38"/>
        <v>0</v>
      </c>
      <c r="AI34" s="501">
        <f t="shared" ca="1" si="38"/>
        <v>0</v>
      </c>
      <c r="AJ34" s="501">
        <f t="shared" ca="1" si="38"/>
        <v>0</v>
      </c>
      <c r="AK34" s="501">
        <f t="shared" ca="1" si="38"/>
        <v>0</v>
      </c>
      <c r="AL34" s="501">
        <f t="shared" ca="1" si="38"/>
        <v>0</v>
      </c>
      <c r="AM34" s="501">
        <f t="shared" ca="1" si="38"/>
        <v>0</v>
      </c>
      <c r="AN34" s="501">
        <f t="shared" ca="1" si="38"/>
        <v>0</v>
      </c>
      <c r="AO34" s="501">
        <f t="shared" ca="1" si="38"/>
        <v>0</v>
      </c>
      <c r="AP34" s="501">
        <f t="shared" ca="1" si="38"/>
        <v>0</v>
      </c>
      <c r="AQ34" s="501">
        <f t="shared" ca="1" si="38"/>
        <v>0</v>
      </c>
      <c r="AR34" s="501">
        <f t="shared" ca="1" si="38"/>
        <v>0</v>
      </c>
      <c r="AS34" s="501">
        <f t="shared" ca="1" si="38"/>
        <v>0</v>
      </c>
      <c r="AT34" s="501">
        <f t="shared" ca="1" si="38"/>
        <v>0</v>
      </c>
      <c r="AU34" s="501">
        <f t="shared" ca="1" si="38"/>
        <v>0</v>
      </c>
      <c r="AV34" s="501">
        <f t="shared" ca="1" si="38"/>
        <v>0</v>
      </c>
    </row>
    <row r="35" spans="2:48">
      <c r="B35" s="475"/>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row>
    <row r="36" spans="2:48">
      <c r="B36" s="475"/>
      <c r="C36" s="502"/>
      <c r="D36" s="502"/>
      <c r="E36" s="502"/>
      <c r="F36" s="502"/>
      <c r="G36" s="502"/>
      <c r="H36" s="502"/>
      <c r="I36" s="502"/>
      <c r="J36" s="502"/>
      <c r="K36" s="502"/>
      <c r="L36" s="502"/>
      <c r="M36" s="502"/>
      <c r="N36" s="502"/>
      <c r="O36" s="502"/>
      <c r="P36" s="502"/>
      <c r="Q36" s="502"/>
      <c r="R36" s="502"/>
      <c r="S36" s="502"/>
      <c r="T36" s="502"/>
      <c r="U36" s="502"/>
      <c r="V36" s="502"/>
      <c r="W36" s="502"/>
      <c r="X36" s="502"/>
      <c r="Y36" s="502"/>
      <c r="Z36" s="502"/>
      <c r="AA36" s="502"/>
      <c r="AB36" s="502"/>
      <c r="AC36" s="502"/>
    </row>
    <row r="37" spans="2:48">
      <c r="B37" s="475"/>
      <c r="C37" s="502"/>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c r="AC37" s="502"/>
    </row>
    <row r="38" spans="2:48">
      <c r="B38" s="475"/>
      <c r="C38" s="502"/>
      <c r="D38" s="502"/>
      <c r="E38" s="502"/>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row>
    <row r="39" spans="2:48">
      <c r="B39" s="475"/>
      <c r="C39" s="502"/>
      <c r="D39" s="502"/>
      <c r="E39" s="502"/>
      <c r="F39" s="502"/>
      <c r="G39" s="502"/>
      <c r="H39" s="502"/>
      <c r="I39" s="502"/>
      <c r="J39" s="502"/>
      <c r="K39" s="502"/>
      <c r="L39" s="502"/>
      <c r="M39" s="502"/>
      <c r="N39" s="502"/>
      <c r="O39" s="502"/>
      <c r="P39" s="502"/>
      <c r="Q39" s="502"/>
      <c r="R39" s="502"/>
      <c r="S39" s="502"/>
      <c r="T39" s="502"/>
      <c r="U39" s="502"/>
      <c r="V39" s="502"/>
      <c r="W39" s="502"/>
      <c r="X39" s="502"/>
      <c r="Y39" s="502"/>
      <c r="Z39" s="502"/>
      <c r="AA39" s="502"/>
      <c r="AB39" s="502"/>
      <c r="AC39" s="502"/>
    </row>
    <row r="40" spans="2:48">
      <c r="B40" s="475"/>
      <c r="C40" s="502"/>
      <c r="D40" s="502"/>
      <c r="E40" s="502"/>
      <c r="F40" s="503"/>
      <c r="G40" s="502"/>
      <c r="H40" s="502"/>
      <c r="I40" s="502"/>
      <c r="J40" s="502"/>
      <c r="K40" s="502"/>
      <c r="L40" s="502"/>
      <c r="M40" s="502"/>
      <c r="N40" s="502"/>
      <c r="O40" s="502"/>
      <c r="P40" s="502"/>
      <c r="Q40" s="502"/>
      <c r="R40" s="502"/>
      <c r="S40" s="502"/>
      <c r="T40" s="502"/>
      <c r="U40" s="502"/>
      <c r="V40" s="502"/>
      <c r="W40" s="502"/>
      <c r="X40" s="502"/>
      <c r="Y40" s="502"/>
      <c r="Z40" s="502"/>
      <c r="AA40" s="502"/>
      <c r="AB40" s="502"/>
      <c r="AC40" s="502"/>
    </row>
    <row r="41" spans="2:48">
      <c r="C41" s="504"/>
    </row>
  </sheetData>
  <sheetProtection algorithmName="SHA-512" hashValue="MMeAYMTdslcsGGRGsfvB6+wrOjr1wIHvNsaoM3X3SLjgcgbuoT7tZsZdDrq0ukFdBgK8as7ZEOx5t/5QY06WBg==" saltValue="+WV2iWBzVtXmc7sCzxA/8w==" spinCount="100000" sheet="1" objects="1" scenarios="1" selectLockedCells="1"/>
  <mergeCells count="3">
    <mergeCell ref="C3:G3"/>
    <mergeCell ref="H3:L3"/>
    <mergeCell ref="C9:O9"/>
  </mergeCells>
  <conditionalFormatting sqref="B25">
    <cfRule type="expression" dxfId="23" priority="8">
      <formula>$E$6=0</formula>
    </cfRule>
  </conditionalFormatting>
  <conditionalFormatting sqref="B27">
    <cfRule type="expression" dxfId="22" priority="7">
      <formula>$E$7=0</formula>
    </cfRule>
  </conditionalFormatting>
  <conditionalFormatting sqref="B29">
    <cfRule type="expression" dxfId="21" priority="6">
      <formula>$I$6=0</formula>
    </cfRule>
  </conditionalFormatting>
  <conditionalFormatting sqref="B30">
    <cfRule type="expression" dxfId="20" priority="5">
      <formula>$I$7=0</formula>
    </cfRule>
  </conditionalFormatting>
  <conditionalFormatting sqref="B31">
    <cfRule type="expression" dxfId="19" priority="4">
      <formula>$L$6=0</formula>
    </cfRule>
  </conditionalFormatting>
  <conditionalFormatting sqref="B32">
    <cfRule type="expression" dxfId="18" priority="3">
      <formula>$L$7=0</formula>
    </cfRule>
  </conditionalFormatting>
  <conditionalFormatting sqref="C12:AV34">
    <cfRule type="expression" dxfId="17" priority="2">
      <formula>C$13&gt;45</formula>
    </cfRule>
  </conditionalFormatting>
  <conditionalFormatting sqref="C13:AV13">
    <cfRule type="expression" dxfId="16" priority="9">
      <formula>C$10=1</formula>
    </cfRule>
  </conditionalFormatting>
  <conditionalFormatting sqref="C14:AV15">
    <cfRule type="expression" dxfId="15" priority="578">
      <formula>C$10=1</formula>
    </cfRule>
  </conditionalFormatting>
  <conditionalFormatting sqref="C16:AV34">
    <cfRule type="expression" dxfId="14" priority="11">
      <formula>C$10=1</formula>
    </cfRule>
  </conditionalFormatting>
  <conditionalFormatting sqref="C21:AV34">
    <cfRule type="cellIs" dxfId="13" priority="10" operator="equal">
      <formula>0</formula>
    </cfRule>
  </conditionalFormatting>
  <conditionalFormatting sqref="C33:AV34">
    <cfRule type="expression" dxfId="12" priority="15">
      <formula>C$34&gt;0</formula>
    </cfRule>
  </conditionalFormatting>
  <conditionalFormatting sqref="D16:X16">
    <cfRule type="expression" dxfId="11" priority="12">
      <formula>D$16&lt;&gt;C$16</formula>
    </cfRule>
  </conditionalFormatting>
  <conditionalFormatting sqref="D24:AV24">
    <cfRule type="expression" dxfId="10" priority="1">
      <formula>D$24&lt;C$24</formula>
    </cfRule>
  </conditionalFormatting>
  <conditionalFormatting sqref="E5">
    <cfRule type="expression" dxfId="9" priority="579">
      <formula>D$10=1</formula>
    </cfRule>
  </conditionalFormatting>
  <dataValidations count="4">
    <dataValidation type="list" allowBlank="1" showInputMessage="1" showErrorMessage="1" sqref="E5" xr:uid="{44A8246B-5288-44CC-A196-11432093DAB3}">
      <formula1>cat_2025</formula1>
    </dataValidation>
    <dataValidation type="list" allowBlank="1" showInputMessage="1" showErrorMessage="1" sqref="L5" xr:uid="{D17A3427-A4D5-4BB3-9099-D1C3ED457A8C}">
      <formula1>años_antiguedad</formula1>
    </dataValidation>
    <dataValidation type="decimal" allowBlank="1" showErrorMessage="1" errorTitle="% JORNADA TRABAJADA" error="Valores entre 0,5 y 1_x000a_Introduce _x000a_100 para jornada completa_x000a_50,0 o 0,5 para media jornada_x000a_87,5 o 0,875 para reducción de 1/8_x000a_" promptTitle="% JORNADA TRABAJADA" prompt="Introduce el % de Jornada Trabajada prevista para este año_x000a_" sqref="C12:AV12" xr:uid="{F7C25843-8862-414E-BE68-CCEA8E594813}">
      <formula1>0.5</formula1>
      <formula2>1</formula2>
    </dataValidation>
    <dataValidation type="list" allowBlank="1" showErrorMessage="1" errorTitle="CATEGORÍA" error="Selecciona una categoría del desplegable_x000a_A.G.N_x000a_Area.Grupo.Nivel" promptTitle="CATEGORÍA" prompt="Selecciona una categoría del desplegable_x000a_A.G.N_x000a_Area.Grupo.Nivel" sqref="C16:AV16" xr:uid="{64FEE6F9-3C7D-47EA-9344-9FF5107282CA}">
      <formula1>cat</formula1>
    </dataValidation>
  </dataValidations>
  <printOptions horizontalCentered="1"/>
  <pageMargins left="0.23622047244094491" right="0.23622047244094491" top="0.74803149606299213" bottom="0.74803149606299213" header="0.31496062992125984" footer="0.31496062992125984"/>
  <pageSetup paperSize="9" scale="25" fitToHeight="0" orientation="landscape" r:id="rId1"/>
  <ignoredErrors>
    <ignoredError sqref="D14:AL14 AM14:AV14 F26:U26 V26:X26 Y26:AV26" formula="1"/>
    <ignoredError sqref="I5 L5 C12:AV12 C16:AG16 E6:E7 AH16:AV1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6733-D458-40B1-8CB5-935F9FACBB82}">
  <sheetPr codeName="Hoja5">
    <pageSetUpPr fitToPage="1"/>
  </sheetPr>
  <dimension ref="B2:E73"/>
  <sheetViews>
    <sheetView showGridLines="0" showRowColHeaders="0" workbookViewId="0">
      <selection activeCell="H24" sqref="H24"/>
    </sheetView>
  </sheetViews>
  <sheetFormatPr baseColWidth="10" defaultRowHeight="14.5"/>
  <cols>
    <col min="1" max="1" width="2.7265625" style="1" customWidth="1"/>
    <col min="2" max="2" width="33.81640625" style="1" customWidth="1"/>
    <col min="3" max="3" width="31.6328125" style="1" customWidth="1"/>
    <col min="4" max="4" width="105.26953125" style="98" customWidth="1"/>
    <col min="5" max="5" width="14.90625" style="1" customWidth="1"/>
    <col min="6" max="16384" width="10.90625" style="1"/>
  </cols>
  <sheetData>
    <row r="2" spans="2:5" ht="49" customHeight="1">
      <c r="C2" s="110"/>
      <c r="D2" s="111" t="s">
        <v>362</v>
      </c>
      <c r="E2" s="163" t="s">
        <v>469</v>
      </c>
    </row>
    <row r="3" spans="2:5" ht="18.5">
      <c r="B3" s="737" t="s">
        <v>361</v>
      </c>
      <c r="C3" s="738"/>
      <c r="D3" s="254" t="s">
        <v>463</v>
      </c>
      <c r="E3" s="167" t="s">
        <v>452</v>
      </c>
    </row>
    <row r="4" spans="2:5" ht="15.5">
      <c r="B4" s="739"/>
      <c r="C4" s="740"/>
      <c r="D4" s="112" t="s">
        <v>406</v>
      </c>
      <c r="E4" s="168" t="s">
        <v>452</v>
      </c>
    </row>
    <row r="5" spans="2:5" ht="18.5">
      <c r="B5" s="753" t="s">
        <v>160</v>
      </c>
      <c r="C5" s="744" t="s">
        <v>349</v>
      </c>
      <c r="D5" s="255" t="s">
        <v>464</v>
      </c>
      <c r="E5" s="164" t="s">
        <v>452</v>
      </c>
    </row>
    <row r="6" spans="2:5" ht="18.5">
      <c r="B6" s="753"/>
      <c r="C6" s="744"/>
      <c r="D6" s="256" t="s">
        <v>465</v>
      </c>
      <c r="E6" s="164" t="s">
        <v>452</v>
      </c>
    </row>
    <row r="7" spans="2:5" ht="15.5">
      <c r="B7" s="754"/>
      <c r="C7" s="744"/>
      <c r="D7" s="101" t="s">
        <v>407</v>
      </c>
      <c r="E7" s="169" t="s">
        <v>452</v>
      </c>
    </row>
    <row r="8" spans="2:5" ht="15.5">
      <c r="B8" s="754"/>
      <c r="C8" s="744"/>
      <c r="D8" s="101" t="s">
        <v>363</v>
      </c>
      <c r="E8" s="169" t="s">
        <v>452</v>
      </c>
    </row>
    <row r="9" spans="2:5" ht="15.5">
      <c r="B9" s="754"/>
      <c r="C9" s="744"/>
      <c r="D9" s="101" t="s">
        <v>364</v>
      </c>
      <c r="E9" s="169" t="s">
        <v>452</v>
      </c>
    </row>
    <row r="10" spans="2:5" ht="15.5">
      <c r="B10" s="754"/>
      <c r="C10" s="745"/>
      <c r="D10" s="102" t="s">
        <v>365</v>
      </c>
      <c r="E10" s="170" t="s">
        <v>452</v>
      </c>
    </row>
    <row r="11" spans="2:5" ht="18.5">
      <c r="B11" s="754"/>
      <c r="C11" s="741" t="s">
        <v>350</v>
      </c>
      <c r="D11" s="257" t="s">
        <v>466</v>
      </c>
      <c r="E11" s="165" t="s">
        <v>452</v>
      </c>
    </row>
    <row r="12" spans="2:5" ht="15.5">
      <c r="B12" s="754"/>
      <c r="C12" s="742"/>
      <c r="D12" s="99" t="s">
        <v>366</v>
      </c>
      <c r="E12" s="171" t="s">
        <v>452</v>
      </c>
    </row>
    <row r="13" spans="2:5" ht="15.5">
      <c r="B13" s="754"/>
      <c r="C13" s="743"/>
      <c r="D13" s="100" t="s">
        <v>367</v>
      </c>
      <c r="E13" s="172" t="s">
        <v>452</v>
      </c>
    </row>
    <row r="14" spans="2:5" ht="18.5">
      <c r="B14" s="754"/>
      <c r="C14" s="759" t="s">
        <v>351</v>
      </c>
      <c r="D14" s="258" t="s">
        <v>467</v>
      </c>
      <c r="E14" s="166" t="s">
        <v>452</v>
      </c>
    </row>
    <row r="15" spans="2:5" ht="18.5">
      <c r="B15" s="754"/>
      <c r="C15" s="744"/>
      <c r="D15" s="255" t="s">
        <v>468</v>
      </c>
      <c r="E15" s="169" t="s">
        <v>452</v>
      </c>
    </row>
    <row r="16" spans="2:5" ht="15.5">
      <c r="B16" s="754"/>
      <c r="C16" s="744"/>
      <c r="D16" s="101" t="s">
        <v>408</v>
      </c>
      <c r="E16" s="169" t="s">
        <v>452</v>
      </c>
    </row>
    <row r="17" spans="2:5" ht="15.5">
      <c r="B17" s="754"/>
      <c r="C17" s="744"/>
      <c r="D17" s="101" t="s">
        <v>409</v>
      </c>
      <c r="E17" s="169" t="s">
        <v>452</v>
      </c>
    </row>
    <row r="18" spans="2:5" ht="15.5">
      <c r="B18" s="754"/>
      <c r="C18" s="744"/>
      <c r="D18" s="101" t="s">
        <v>410</v>
      </c>
      <c r="E18" s="169" t="s">
        <v>452</v>
      </c>
    </row>
    <row r="19" spans="2:5" ht="15.5">
      <c r="B19" s="754"/>
      <c r="C19" s="744"/>
      <c r="D19" s="101" t="s">
        <v>368</v>
      </c>
      <c r="E19" s="169" t="s">
        <v>452</v>
      </c>
    </row>
    <row r="20" spans="2:5" ht="15.5">
      <c r="B20" s="754"/>
      <c r="C20" s="744"/>
      <c r="D20" s="101" t="s">
        <v>370</v>
      </c>
      <c r="E20" s="169" t="s">
        <v>452</v>
      </c>
    </row>
    <row r="21" spans="2:5" ht="15.5">
      <c r="B21" s="754"/>
      <c r="C21" s="744"/>
      <c r="D21" s="101" t="s">
        <v>373</v>
      </c>
      <c r="E21" s="169" t="s">
        <v>452</v>
      </c>
    </row>
    <row r="22" spans="2:5" ht="15.5">
      <c r="B22" s="754"/>
      <c r="C22" s="744"/>
      <c r="D22" s="286" t="s">
        <v>369</v>
      </c>
      <c r="E22" s="287" t="s">
        <v>497</v>
      </c>
    </row>
    <row r="23" spans="2:5" ht="15.5">
      <c r="B23" s="754"/>
      <c r="C23" s="744"/>
      <c r="D23" s="282" t="s">
        <v>371</v>
      </c>
      <c r="E23" s="284" t="s">
        <v>497</v>
      </c>
    </row>
    <row r="24" spans="2:5" ht="15.5">
      <c r="B24" s="754"/>
      <c r="C24" s="744"/>
      <c r="D24" s="282" t="s">
        <v>372</v>
      </c>
      <c r="E24" s="284" t="s">
        <v>497</v>
      </c>
    </row>
    <row r="25" spans="2:5" ht="15.5">
      <c r="B25" s="754"/>
      <c r="C25" s="745"/>
      <c r="D25" s="283" t="s">
        <v>374</v>
      </c>
      <c r="E25" s="285" t="s">
        <v>497</v>
      </c>
    </row>
    <row r="26" spans="2:5" ht="18.5">
      <c r="B26" s="754"/>
      <c r="C26" s="741" t="s">
        <v>347</v>
      </c>
      <c r="D26" s="257" t="s">
        <v>470</v>
      </c>
      <c r="E26" s="165" t="s">
        <v>452</v>
      </c>
    </row>
    <row r="27" spans="2:5" ht="15.5">
      <c r="B27" s="754"/>
      <c r="C27" s="742"/>
      <c r="D27" s="99" t="s">
        <v>375</v>
      </c>
      <c r="E27" s="171" t="s">
        <v>452</v>
      </c>
    </row>
    <row r="28" spans="2:5" ht="15.5">
      <c r="B28" s="754"/>
      <c r="C28" s="742"/>
      <c r="D28" s="99" t="s">
        <v>376</v>
      </c>
      <c r="E28" s="171" t="s">
        <v>452</v>
      </c>
    </row>
    <row r="29" spans="2:5" ht="15.5">
      <c r="B29" s="754"/>
      <c r="C29" s="759" t="s">
        <v>352</v>
      </c>
      <c r="D29" s="107" t="s">
        <v>377</v>
      </c>
      <c r="E29" s="173" t="s">
        <v>453</v>
      </c>
    </row>
    <row r="30" spans="2:5" ht="15.5">
      <c r="B30" s="754"/>
      <c r="C30" s="744"/>
      <c r="D30" s="101" t="s">
        <v>378</v>
      </c>
      <c r="E30" s="169" t="s">
        <v>453</v>
      </c>
    </row>
    <row r="31" spans="2:5" ht="15.5">
      <c r="B31" s="754"/>
      <c r="C31" s="744"/>
      <c r="D31" s="101" t="s">
        <v>379</v>
      </c>
      <c r="E31" s="169" t="s">
        <v>453</v>
      </c>
    </row>
    <row r="32" spans="2:5" ht="15.5">
      <c r="B32" s="754"/>
      <c r="C32" s="744"/>
      <c r="D32" s="101" t="s">
        <v>380</v>
      </c>
      <c r="E32" s="169" t="s">
        <v>453</v>
      </c>
    </row>
    <row r="33" spans="2:5" ht="15.5">
      <c r="B33" s="754"/>
      <c r="C33" s="744"/>
      <c r="D33" s="101" t="s">
        <v>381</v>
      </c>
      <c r="E33" s="169" t="s">
        <v>453</v>
      </c>
    </row>
    <row r="34" spans="2:5" ht="15.5">
      <c r="B34" s="754"/>
      <c r="C34" s="745"/>
      <c r="D34" s="102" t="s">
        <v>382</v>
      </c>
      <c r="E34" s="170" t="s">
        <v>453</v>
      </c>
    </row>
    <row r="35" spans="2:5" ht="15.5">
      <c r="B35" s="754"/>
      <c r="C35" s="742" t="s">
        <v>353</v>
      </c>
      <c r="D35" s="99" t="s">
        <v>383</v>
      </c>
      <c r="E35" s="171" t="s">
        <v>453</v>
      </c>
    </row>
    <row r="36" spans="2:5" ht="15.5">
      <c r="B36" s="754"/>
      <c r="C36" s="742"/>
      <c r="D36" s="99" t="s">
        <v>384</v>
      </c>
      <c r="E36" s="171" t="s">
        <v>453</v>
      </c>
    </row>
    <row r="37" spans="2:5" ht="15.5">
      <c r="B37" s="754"/>
      <c r="C37" s="108" t="s">
        <v>354</v>
      </c>
      <c r="D37" s="109" t="s">
        <v>385</v>
      </c>
      <c r="E37" s="174" t="s">
        <v>497</v>
      </c>
    </row>
    <row r="38" spans="2:5" ht="15.5">
      <c r="B38" s="754"/>
      <c r="C38" s="741" t="s">
        <v>355</v>
      </c>
      <c r="D38" s="103" t="s">
        <v>386</v>
      </c>
      <c r="E38" s="175" t="s">
        <v>453</v>
      </c>
    </row>
    <row r="39" spans="2:5" ht="15.5">
      <c r="B39" s="754"/>
      <c r="C39" s="742"/>
      <c r="D39" s="99" t="s">
        <v>387</v>
      </c>
      <c r="E39" s="176" t="s">
        <v>453</v>
      </c>
    </row>
    <row r="40" spans="2:5" ht="15.5">
      <c r="B40" s="754"/>
      <c r="C40" s="742"/>
      <c r="D40" s="99" t="s">
        <v>388</v>
      </c>
      <c r="E40" s="176" t="s">
        <v>453</v>
      </c>
    </row>
    <row r="41" spans="2:5" ht="15.5">
      <c r="B41" s="754"/>
      <c r="C41" s="742"/>
      <c r="D41" s="99" t="s">
        <v>389</v>
      </c>
      <c r="E41" s="176" t="s">
        <v>453</v>
      </c>
    </row>
    <row r="42" spans="2:5" ht="46.5">
      <c r="B42" s="754"/>
      <c r="C42" s="742"/>
      <c r="D42" s="104" t="s">
        <v>390</v>
      </c>
      <c r="E42" s="176" t="s">
        <v>453</v>
      </c>
    </row>
    <row r="43" spans="2:5" ht="15.5">
      <c r="B43" s="754"/>
      <c r="C43" s="742"/>
      <c r="D43" s="99" t="s">
        <v>391</v>
      </c>
      <c r="E43" s="176" t="s">
        <v>453</v>
      </c>
    </row>
    <row r="44" spans="2:5" ht="15.5">
      <c r="B44" s="754"/>
      <c r="C44" s="742"/>
      <c r="D44" s="99" t="s">
        <v>392</v>
      </c>
      <c r="E44" s="176" t="s">
        <v>453</v>
      </c>
    </row>
    <row r="45" spans="2:5" ht="15.5">
      <c r="B45" s="754"/>
      <c r="C45" s="742"/>
      <c r="D45" s="99" t="s">
        <v>393</v>
      </c>
      <c r="E45" s="176" t="s">
        <v>453</v>
      </c>
    </row>
    <row r="46" spans="2:5" ht="15.5">
      <c r="B46" s="754"/>
      <c r="C46" s="742"/>
      <c r="D46" s="99" t="s">
        <v>394</v>
      </c>
      <c r="E46" s="176" t="s">
        <v>453</v>
      </c>
    </row>
    <row r="47" spans="2:5" ht="15.5">
      <c r="B47" s="754"/>
      <c r="C47" s="742"/>
      <c r="D47" s="99" t="s">
        <v>395</v>
      </c>
      <c r="E47" s="176" t="s">
        <v>453</v>
      </c>
    </row>
    <row r="48" spans="2:5" ht="15.5">
      <c r="B48" s="754"/>
      <c r="C48" s="743"/>
      <c r="D48" s="100" t="s">
        <v>396</v>
      </c>
      <c r="E48" s="177" t="s">
        <v>453</v>
      </c>
    </row>
    <row r="49" spans="2:5" ht="15.5">
      <c r="B49" s="754"/>
      <c r="C49" s="744" t="s">
        <v>356</v>
      </c>
      <c r="D49" s="101" t="s">
        <v>397</v>
      </c>
      <c r="E49" s="169" t="s">
        <v>453</v>
      </c>
    </row>
    <row r="50" spans="2:5" ht="15.5">
      <c r="B50" s="754"/>
      <c r="C50" s="744"/>
      <c r="D50" s="101" t="s">
        <v>398</v>
      </c>
      <c r="E50" s="169" t="s">
        <v>453</v>
      </c>
    </row>
    <row r="51" spans="2:5" ht="15.5">
      <c r="B51" s="754"/>
      <c r="C51" s="744"/>
      <c r="D51" s="101" t="s">
        <v>399</v>
      </c>
      <c r="E51" s="169" t="s">
        <v>453</v>
      </c>
    </row>
    <row r="52" spans="2:5" ht="15.5">
      <c r="B52" s="754"/>
      <c r="C52" s="105" t="s">
        <v>348</v>
      </c>
      <c r="D52" s="106" t="s">
        <v>400</v>
      </c>
      <c r="E52" s="178" t="s">
        <v>453</v>
      </c>
    </row>
    <row r="53" spans="2:5" ht="18.5">
      <c r="B53" s="754"/>
      <c r="C53" s="744" t="s">
        <v>357</v>
      </c>
      <c r="D53" s="255" t="s">
        <v>473</v>
      </c>
      <c r="E53" s="164" t="s">
        <v>453</v>
      </c>
    </row>
    <row r="54" spans="2:5" ht="18.5">
      <c r="B54" s="754"/>
      <c r="C54" s="744"/>
      <c r="D54" s="288" t="s">
        <v>472</v>
      </c>
      <c r="E54" s="289" t="s">
        <v>497</v>
      </c>
    </row>
    <row r="55" spans="2:5" ht="15.5">
      <c r="B55" s="754"/>
      <c r="C55" s="744"/>
      <c r="D55" s="101" t="s">
        <v>401</v>
      </c>
      <c r="E55" s="169" t="s">
        <v>453</v>
      </c>
    </row>
    <row r="56" spans="2:5" ht="15.5">
      <c r="B56" s="754"/>
      <c r="C56" s="744"/>
      <c r="D56" s="101" t="s">
        <v>402</v>
      </c>
      <c r="E56" s="169" t="s">
        <v>453</v>
      </c>
    </row>
    <row r="57" spans="2:5" ht="15.5">
      <c r="B57" s="754"/>
      <c r="C57" s="744"/>
      <c r="D57" s="101" t="s">
        <v>403</v>
      </c>
      <c r="E57" s="169" t="s">
        <v>453</v>
      </c>
    </row>
    <row r="58" spans="2:5" ht="15.5">
      <c r="B58" s="754"/>
      <c r="C58" s="744"/>
      <c r="D58" s="101" t="s">
        <v>404</v>
      </c>
      <c r="E58" s="169" t="s">
        <v>453</v>
      </c>
    </row>
    <row r="59" spans="2:5" ht="15.5">
      <c r="B59" s="755"/>
      <c r="C59" s="745"/>
      <c r="D59" s="102" t="s">
        <v>405</v>
      </c>
      <c r="E59" s="170" t="s">
        <v>453</v>
      </c>
    </row>
    <row r="60" spans="2:5" ht="15.5">
      <c r="B60" s="756" t="s">
        <v>298</v>
      </c>
      <c r="C60" s="746" t="s">
        <v>358</v>
      </c>
      <c r="D60" s="114" t="s">
        <v>423</v>
      </c>
      <c r="E60" s="182" t="s">
        <v>453</v>
      </c>
    </row>
    <row r="61" spans="2:5" ht="15.5">
      <c r="B61" s="757"/>
      <c r="C61" s="747"/>
      <c r="D61" s="113" t="s">
        <v>411</v>
      </c>
      <c r="E61" s="183" t="s">
        <v>453</v>
      </c>
    </row>
    <row r="62" spans="2:5" ht="15.5">
      <c r="B62" s="757"/>
      <c r="C62" s="747"/>
      <c r="D62" s="113" t="s">
        <v>412</v>
      </c>
      <c r="E62" s="183" t="s">
        <v>453</v>
      </c>
    </row>
    <row r="63" spans="2:5" ht="15.5">
      <c r="B63" s="757"/>
      <c r="C63" s="747"/>
      <c r="D63" s="113" t="s">
        <v>413</v>
      </c>
      <c r="E63" s="183" t="s">
        <v>453</v>
      </c>
    </row>
    <row r="64" spans="2:5" ht="15.5">
      <c r="B64" s="757"/>
      <c r="C64" s="747"/>
      <c r="D64" s="113" t="s">
        <v>414</v>
      </c>
      <c r="E64" s="183" t="s">
        <v>453</v>
      </c>
    </row>
    <row r="65" spans="2:5" ht="15.5">
      <c r="B65" s="757"/>
      <c r="C65" s="748" t="s">
        <v>359</v>
      </c>
      <c r="D65" s="179" t="s">
        <v>415</v>
      </c>
      <c r="E65" s="184" t="s">
        <v>453</v>
      </c>
    </row>
    <row r="66" spans="2:5" ht="15.5">
      <c r="B66" s="757"/>
      <c r="C66" s="749"/>
      <c r="D66" s="180" t="s">
        <v>416</v>
      </c>
      <c r="E66" s="185" t="s">
        <v>453</v>
      </c>
    </row>
    <row r="67" spans="2:5" ht="15.5">
      <c r="B67" s="757"/>
      <c r="C67" s="750"/>
      <c r="D67" s="181" t="s">
        <v>417</v>
      </c>
      <c r="E67" s="186" t="s">
        <v>453</v>
      </c>
    </row>
    <row r="68" spans="2:5" ht="15.5">
      <c r="B68" s="757"/>
      <c r="C68" s="751" t="s">
        <v>360</v>
      </c>
      <c r="D68" s="114" t="s">
        <v>418</v>
      </c>
      <c r="E68" s="182" t="s">
        <v>453</v>
      </c>
    </row>
    <row r="69" spans="2:5" ht="15.5">
      <c r="B69" s="757"/>
      <c r="C69" s="752"/>
      <c r="D69" s="115" t="s">
        <v>419</v>
      </c>
      <c r="E69" s="187" t="s">
        <v>453</v>
      </c>
    </row>
    <row r="70" spans="2:5" ht="18.5">
      <c r="B70" s="757"/>
      <c r="C70" s="735" t="s">
        <v>293</v>
      </c>
      <c r="D70" s="259" t="s">
        <v>471</v>
      </c>
      <c r="E70" s="185" t="s">
        <v>453</v>
      </c>
    </row>
    <row r="71" spans="2:5" ht="15.5">
      <c r="B71" s="757"/>
      <c r="C71" s="735"/>
      <c r="D71" s="180" t="s">
        <v>420</v>
      </c>
      <c r="E71" s="185" t="s">
        <v>453</v>
      </c>
    </row>
    <row r="72" spans="2:5" ht="15.5">
      <c r="B72" s="757"/>
      <c r="C72" s="735"/>
      <c r="D72" s="180" t="s">
        <v>421</v>
      </c>
      <c r="E72" s="185" t="s">
        <v>453</v>
      </c>
    </row>
    <row r="73" spans="2:5" ht="15.5">
      <c r="B73" s="758"/>
      <c r="C73" s="736"/>
      <c r="D73" s="181" t="s">
        <v>422</v>
      </c>
      <c r="E73" s="186" t="s">
        <v>453</v>
      </c>
    </row>
  </sheetData>
  <sheetProtection algorithmName="SHA-512" hashValue="0avKBqSBWwllleyVzeFHQ2Lkwc51Y0vutCyNxiT51uDD/9tgZwis/+smnPpZQZcnkGKx0L8/+djKr7ADVOrNsQ==" saltValue="h2egh+DeawFgnDQLJNdfsg==" spinCount="100000" sheet="1" objects="1" scenarios="1" selectLockedCells="1"/>
  <mergeCells count="16">
    <mergeCell ref="C70:C73"/>
    <mergeCell ref="B3:C4"/>
    <mergeCell ref="C38:C48"/>
    <mergeCell ref="C49:C51"/>
    <mergeCell ref="C53:C59"/>
    <mergeCell ref="C60:C64"/>
    <mergeCell ref="C65:C67"/>
    <mergeCell ref="C68:C69"/>
    <mergeCell ref="B5:B59"/>
    <mergeCell ref="B60:B73"/>
    <mergeCell ref="C5:C10"/>
    <mergeCell ref="C11:C13"/>
    <mergeCell ref="C14:C25"/>
    <mergeCell ref="C26:C28"/>
    <mergeCell ref="C29:C34"/>
    <mergeCell ref="C35:C36"/>
  </mergeCells>
  <pageMargins left="0.70866141732283472" right="0.70866141732283472" top="0.74803149606299213" bottom="0.74803149606299213" header="0.31496062992125984" footer="0.31496062992125984"/>
  <pageSetup paperSize="9" scale="4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pageSetUpPr fitToPage="1"/>
  </sheetPr>
  <dimension ref="A1:AD60"/>
  <sheetViews>
    <sheetView showGridLines="0" showRowColHeaders="0" workbookViewId="0">
      <selection activeCell="Z2" sqref="Z2"/>
    </sheetView>
  </sheetViews>
  <sheetFormatPr baseColWidth="10" defaultColWidth="11.453125" defaultRowHeight="14.5"/>
  <cols>
    <col min="1" max="1" width="32" style="260" customWidth="1"/>
    <col min="2" max="2" width="2.54296875" style="260" bestFit="1" customWidth="1"/>
    <col min="3" max="3" width="2.453125" style="260" bestFit="1" customWidth="1"/>
    <col min="4" max="4" width="10.6328125" style="260" customWidth="1"/>
    <col min="5" max="7" width="12.6328125" style="260" customWidth="1"/>
    <col min="8" max="10" width="12.6328125" style="1" customWidth="1"/>
    <col min="11" max="16" width="12.6328125" style="260" customWidth="1"/>
    <col min="17" max="17" width="11.453125" style="1"/>
    <col min="18" max="18" width="12.6328125" style="275" customWidth="1"/>
    <col min="19" max="20" width="12.6328125" style="275" hidden="1" customWidth="1"/>
    <col min="21" max="25" width="12.6328125" style="260" hidden="1" customWidth="1"/>
    <col min="26" max="26" width="11.453125" style="260"/>
    <col min="27" max="30" width="11.453125" style="1"/>
    <col min="31" max="16384" width="11.453125" style="260"/>
  </cols>
  <sheetData>
    <row r="1" spans="1:27" s="268" customFormat="1" ht="35" customHeight="1" thickBot="1">
      <c r="A1" s="771" t="s">
        <v>424</v>
      </c>
      <c r="B1" s="772"/>
      <c r="C1" s="772"/>
      <c r="D1" s="330">
        <f>'2024_2025'!G45</f>
        <v>15876</v>
      </c>
      <c r="E1" s="761">
        <v>2024</v>
      </c>
      <c r="F1" s="761"/>
      <c r="G1" s="761"/>
      <c r="H1" s="760" t="s">
        <v>520</v>
      </c>
      <c r="I1" s="760"/>
      <c r="J1" s="760"/>
      <c r="K1" s="761">
        <v>2026</v>
      </c>
      <c r="L1" s="761"/>
      <c r="M1" s="761"/>
      <c r="N1" s="761">
        <v>2027</v>
      </c>
      <c r="O1" s="761"/>
      <c r="P1" s="761"/>
      <c r="Q1" s="767" t="s">
        <v>542</v>
      </c>
      <c r="R1" s="765" t="s">
        <v>544</v>
      </c>
      <c r="S1" s="763" t="s">
        <v>523</v>
      </c>
      <c r="T1" s="763" t="s">
        <v>524</v>
      </c>
      <c r="U1" s="760" t="s">
        <v>519</v>
      </c>
      <c r="V1" s="760"/>
      <c r="W1" s="760"/>
      <c r="X1" s="329" t="s">
        <v>525</v>
      </c>
      <c r="Y1" s="317">
        <v>80</v>
      </c>
    </row>
    <row r="2" spans="1:27" ht="35" customHeight="1" thickBot="1">
      <c r="A2" s="773" t="s">
        <v>456</v>
      </c>
      <c r="B2" s="774"/>
      <c r="C2" s="774"/>
      <c r="D2" s="331">
        <f>'2024_2025'!V45</f>
        <v>16576</v>
      </c>
      <c r="E2" s="300" t="s">
        <v>18</v>
      </c>
      <c r="F2" s="300" t="s">
        <v>19</v>
      </c>
      <c r="G2" s="300" t="s">
        <v>27</v>
      </c>
      <c r="H2" s="300" t="s">
        <v>18</v>
      </c>
      <c r="I2" s="300" t="s">
        <v>19</v>
      </c>
      <c r="J2" s="300" t="s">
        <v>479</v>
      </c>
      <c r="K2" s="300" t="s">
        <v>18</v>
      </c>
      <c r="L2" s="300" t="s">
        <v>19</v>
      </c>
      <c r="M2" s="300" t="s">
        <v>480</v>
      </c>
      <c r="N2" s="300" t="s">
        <v>18</v>
      </c>
      <c r="O2" s="300" t="s">
        <v>19</v>
      </c>
      <c r="P2" s="300" t="s">
        <v>481</v>
      </c>
      <c r="Q2" s="768"/>
      <c r="R2" s="766"/>
      <c r="S2" s="764"/>
      <c r="T2" s="764"/>
      <c r="U2" s="273" t="s">
        <v>18</v>
      </c>
      <c r="V2" s="273" t="s">
        <v>19</v>
      </c>
      <c r="W2" s="273" t="s">
        <v>479</v>
      </c>
      <c r="X2" s="318" t="s">
        <v>521</v>
      </c>
      <c r="Y2" s="318" t="s">
        <v>522</v>
      </c>
    </row>
    <row r="3" spans="1:27">
      <c r="A3" s="762" t="s">
        <v>474</v>
      </c>
      <c r="B3" s="262" t="s">
        <v>28</v>
      </c>
      <c r="C3" s="264">
        <v>1</v>
      </c>
      <c r="D3" s="266" t="s">
        <v>29</v>
      </c>
      <c r="E3" s="269">
        <v>18668.16</v>
      </c>
      <c r="F3" s="269">
        <v>2389.7800000000002</v>
      </c>
      <c r="G3" s="269">
        <v>21057.94</v>
      </c>
      <c r="H3" s="270">
        <f t="shared" ref="H3:H24" si="0">J3*X3</f>
        <v>19414.89</v>
      </c>
      <c r="I3" s="269">
        <f t="shared" ref="I3:I24" si="1">J3*Y3</f>
        <v>2485.37</v>
      </c>
      <c r="J3" s="271">
        <f>W3</f>
        <v>21900.26</v>
      </c>
      <c r="K3" s="269">
        <v>19997.34</v>
      </c>
      <c r="L3" s="269">
        <v>2559.9299999999998</v>
      </c>
      <c r="M3" s="269">
        <v>22557.27</v>
      </c>
      <c r="N3" s="270">
        <v>20597.259999999998</v>
      </c>
      <c r="O3" s="269">
        <v>2636.73</v>
      </c>
      <c r="P3" s="271">
        <v>23233.99</v>
      </c>
      <c r="Q3" s="366">
        <f t="shared" ref="Q3:Q11" si="2">J3-J4</f>
        <v>1865.9599999999991</v>
      </c>
      <c r="R3" s="363">
        <f t="shared" ref="R3:R46" si="3">((J3*100/G3)/100)-1</f>
        <v>4.0000113971262241E-2</v>
      </c>
      <c r="S3" s="311">
        <f>J3-W3</f>
        <v>0</v>
      </c>
      <c r="T3" s="311">
        <f>J3-G3</f>
        <v>842.31999999999971</v>
      </c>
      <c r="U3" s="311">
        <v>19414.89</v>
      </c>
      <c r="V3" s="312">
        <v>2485.37</v>
      </c>
      <c r="W3" s="313">
        <v>21900.26</v>
      </c>
      <c r="X3" s="319">
        <f t="shared" ref="X3:X24" si="4">((U3*100)/W3)/100</f>
        <v>0.88651413270892676</v>
      </c>
      <c r="Y3" s="320">
        <f t="shared" ref="Y3:Y24" si="5">((V3*100)/W3)/100</f>
        <v>0.11348586729107327</v>
      </c>
      <c r="AA3" s="59"/>
    </row>
    <row r="4" spans="1:27">
      <c r="A4" s="762"/>
      <c r="B4" s="262" t="s">
        <v>30</v>
      </c>
      <c r="C4" s="264">
        <v>1</v>
      </c>
      <c r="D4" s="266" t="s">
        <v>31</v>
      </c>
      <c r="E4" s="269">
        <v>17322.490000000002</v>
      </c>
      <c r="F4" s="269">
        <v>1941.26</v>
      </c>
      <c r="G4" s="269">
        <v>19263.75</v>
      </c>
      <c r="H4" s="270">
        <f t="shared" si="0"/>
        <v>18015.39</v>
      </c>
      <c r="I4" s="269">
        <f t="shared" si="1"/>
        <v>2018.91</v>
      </c>
      <c r="J4" s="271">
        <f>W4</f>
        <v>20034.3</v>
      </c>
      <c r="K4" s="269">
        <v>18555.849999999999</v>
      </c>
      <c r="L4" s="269">
        <v>2079.48</v>
      </c>
      <c r="M4" s="269">
        <v>20635.330000000002</v>
      </c>
      <c r="N4" s="270">
        <v>19112.53</v>
      </c>
      <c r="O4" s="269">
        <v>2141.86</v>
      </c>
      <c r="P4" s="271">
        <v>21254.39</v>
      </c>
      <c r="Q4" s="366">
        <f t="shared" si="2"/>
        <v>1918.8400000000001</v>
      </c>
      <c r="R4" s="364">
        <f t="shared" si="3"/>
        <v>4.0000000000000036E-2</v>
      </c>
      <c r="S4" s="270">
        <f>J4-W4</f>
        <v>0</v>
      </c>
      <c r="T4" s="270">
        <f>J4-G4</f>
        <v>770.54999999999927</v>
      </c>
      <c r="U4" s="270">
        <v>18015.39</v>
      </c>
      <c r="V4" s="269">
        <v>2018.91</v>
      </c>
      <c r="W4" s="271">
        <v>20034.3</v>
      </c>
      <c r="X4" s="321">
        <f t="shared" si="4"/>
        <v>0.89922732513738934</v>
      </c>
      <c r="Y4" s="322">
        <f t="shared" si="5"/>
        <v>0.10077267486261063</v>
      </c>
      <c r="AA4" s="59"/>
    </row>
    <row r="5" spans="1:27">
      <c r="A5" s="762"/>
      <c r="B5" s="262" t="s">
        <v>30</v>
      </c>
      <c r="C5" s="264">
        <v>2</v>
      </c>
      <c r="D5" s="266" t="s">
        <v>32</v>
      </c>
      <c r="E5" s="269">
        <v>15543.55</v>
      </c>
      <c r="F5" s="269">
        <v>1875.16</v>
      </c>
      <c r="G5" s="269">
        <v>17418.71</v>
      </c>
      <c r="H5" s="270">
        <f t="shared" si="0"/>
        <v>16165.29</v>
      </c>
      <c r="I5" s="269">
        <f t="shared" si="1"/>
        <v>1950.1699999999998</v>
      </c>
      <c r="J5" s="271">
        <f>W5</f>
        <v>18115.46</v>
      </c>
      <c r="K5" s="269">
        <v>16650.25</v>
      </c>
      <c r="L5" s="269">
        <v>2008.68</v>
      </c>
      <c r="M5" s="269">
        <v>18658.93</v>
      </c>
      <c r="N5" s="270">
        <v>17149.759999999998</v>
      </c>
      <c r="O5" s="269">
        <v>2068.94</v>
      </c>
      <c r="P5" s="271">
        <v>19218.7</v>
      </c>
      <c r="Q5" s="366">
        <f t="shared" si="2"/>
        <v>979.45999999999913</v>
      </c>
      <c r="R5" s="364">
        <f t="shared" si="3"/>
        <v>4.0000091855252329E-2</v>
      </c>
      <c r="S5" s="270">
        <f>J5-W5</f>
        <v>0</v>
      </c>
      <c r="T5" s="270">
        <f>J5-G5</f>
        <v>696.75</v>
      </c>
      <c r="U5" s="270">
        <v>16165.29</v>
      </c>
      <c r="V5" s="269">
        <v>1950.17</v>
      </c>
      <c r="W5" s="271">
        <v>18115.46</v>
      </c>
      <c r="X5" s="321">
        <f t="shared" si="4"/>
        <v>0.89234775158897439</v>
      </c>
      <c r="Y5" s="322">
        <f t="shared" si="5"/>
        <v>0.10765224841102572</v>
      </c>
      <c r="AA5" s="59"/>
    </row>
    <row r="6" spans="1:27">
      <c r="A6" s="762"/>
      <c r="B6" s="262" t="s">
        <v>33</v>
      </c>
      <c r="C6" s="264">
        <v>1</v>
      </c>
      <c r="D6" s="266" t="s">
        <v>34</v>
      </c>
      <c r="E6" s="269">
        <v>14279.6</v>
      </c>
      <c r="F6" s="269">
        <v>2156.4</v>
      </c>
      <c r="G6" s="269">
        <v>16436</v>
      </c>
      <c r="H6" s="270">
        <f t="shared" si="0"/>
        <v>14887.756126326827</v>
      </c>
      <c r="I6" s="269">
        <f t="shared" si="1"/>
        <v>2248.2438736731756</v>
      </c>
      <c r="J6" s="271">
        <f t="shared" ref="J6:J12" si="6">J7+$Y$1</f>
        <v>17136</v>
      </c>
      <c r="K6" s="269">
        <v>15334.39</v>
      </c>
      <c r="L6" s="269">
        <v>2315.69</v>
      </c>
      <c r="M6" s="269">
        <v>17650.080000000002</v>
      </c>
      <c r="N6" s="270">
        <v>15794.42</v>
      </c>
      <c r="O6" s="269">
        <v>2385.16</v>
      </c>
      <c r="P6" s="271">
        <v>18179.580000000002</v>
      </c>
      <c r="Q6" s="366">
        <f t="shared" si="2"/>
        <v>80</v>
      </c>
      <c r="R6" s="364">
        <f t="shared" si="3"/>
        <v>4.2589437819420706E-2</v>
      </c>
      <c r="S6" s="270">
        <f t="shared" ref="S6:S13" si="7">J6-W6</f>
        <v>42.56000000000131</v>
      </c>
      <c r="T6" s="270">
        <f>J6-G6</f>
        <v>700</v>
      </c>
      <c r="U6" s="270">
        <v>14850.78</v>
      </c>
      <c r="V6" s="269">
        <v>2242.66</v>
      </c>
      <c r="W6" s="271">
        <v>17093.439999999999</v>
      </c>
      <c r="X6" s="321">
        <f t="shared" si="4"/>
        <v>0.86879996068667287</v>
      </c>
      <c r="Y6" s="322">
        <f t="shared" si="5"/>
        <v>0.13120003931332724</v>
      </c>
      <c r="AA6" s="59"/>
    </row>
    <row r="7" spans="1:27">
      <c r="A7" s="762"/>
      <c r="B7" s="262" t="s">
        <v>33</v>
      </c>
      <c r="C7" s="264">
        <v>2</v>
      </c>
      <c r="D7" s="266" t="s">
        <v>35</v>
      </c>
      <c r="E7" s="269">
        <v>13984.38</v>
      </c>
      <c r="F7" s="269">
        <v>2371.62</v>
      </c>
      <c r="G7" s="269">
        <v>16356</v>
      </c>
      <c r="H7" s="270">
        <f t="shared" si="0"/>
        <v>14582.884812912691</v>
      </c>
      <c r="I7" s="269">
        <f t="shared" si="1"/>
        <v>2473.1151870873073</v>
      </c>
      <c r="J7" s="271">
        <f t="shared" si="6"/>
        <v>17056</v>
      </c>
      <c r="K7" s="269">
        <v>15020.37</v>
      </c>
      <c r="L7" s="269">
        <v>2547.31</v>
      </c>
      <c r="M7" s="269">
        <v>17567.68</v>
      </c>
      <c r="N7" s="270">
        <v>15470.98</v>
      </c>
      <c r="O7" s="269">
        <v>2623.73</v>
      </c>
      <c r="P7" s="271">
        <v>18094.71</v>
      </c>
      <c r="Q7" s="366">
        <f t="shared" si="2"/>
        <v>80</v>
      </c>
      <c r="R7" s="364">
        <f t="shared" si="3"/>
        <v>4.2797750061139617E-2</v>
      </c>
      <c r="S7" s="270">
        <f t="shared" si="7"/>
        <v>45.759999999998399</v>
      </c>
      <c r="T7" s="270">
        <f t="shared" ref="T7:T17" si="8">J7-G7</f>
        <v>700</v>
      </c>
      <c r="U7" s="270">
        <v>14543.76</v>
      </c>
      <c r="V7" s="269">
        <v>2466.48</v>
      </c>
      <c r="W7" s="271">
        <v>17010.240000000002</v>
      </c>
      <c r="X7" s="321">
        <f t="shared" si="4"/>
        <v>0.85500028218296731</v>
      </c>
      <c r="Y7" s="322">
        <f t="shared" si="5"/>
        <v>0.14499971781703255</v>
      </c>
      <c r="AA7" s="59"/>
    </row>
    <row r="8" spans="1:27">
      <c r="A8" s="762"/>
      <c r="B8" s="262" t="s">
        <v>33</v>
      </c>
      <c r="C8" s="264">
        <v>3</v>
      </c>
      <c r="D8" s="266" t="s">
        <v>36</v>
      </c>
      <c r="E8" s="269">
        <v>13784.14</v>
      </c>
      <c r="F8" s="269">
        <v>2491.86</v>
      </c>
      <c r="G8" s="269">
        <v>16276</v>
      </c>
      <c r="H8" s="270">
        <f t="shared" si="0"/>
        <v>14376.974223490934</v>
      </c>
      <c r="I8" s="269">
        <f t="shared" si="1"/>
        <v>2599.0257765090651</v>
      </c>
      <c r="J8" s="271">
        <f t="shared" si="6"/>
        <v>16976</v>
      </c>
      <c r="K8" s="269">
        <v>14808.28</v>
      </c>
      <c r="L8" s="269">
        <v>2677</v>
      </c>
      <c r="M8" s="269">
        <v>17485.28</v>
      </c>
      <c r="N8" s="270">
        <v>15252.53</v>
      </c>
      <c r="O8" s="269">
        <v>2757.31</v>
      </c>
      <c r="P8" s="271">
        <v>18009.84</v>
      </c>
      <c r="Q8" s="366">
        <f t="shared" si="2"/>
        <v>80</v>
      </c>
      <c r="R8" s="364">
        <f t="shared" si="3"/>
        <v>4.3008110100761776E-2</v>
      </c>
      <c r="S8" s="270">
        <f t="shared" si="7"/>
        <v>48.959999999999127</v>
      </c>
      <c r="T8" s="270">
        <f t="shared" si="8"/>
        <v>700</v>
      </c>
      <c r="U8" s="270">
        <v>14335.51</v>
      </c>
      <c r="V8" s="269">
        <v>2591.5300000000002</v>
      </c>
      <c r="W8" s="271">
        <v>16927.04</v>
      </c>
      <c r="X8" s="321">
        <f t="shared" si="4"/>
        <v>0.84689998960243484</v>
      </c>
      <c r="Y8" s="322">
        <f t="shared" si="5"/>
        <v>0.1531000103975651</v>
      </c>
      <c r="AA8" s="59"/>
    </row>
    <row r="9" spans="1:27">
      <c r="A9" s="762"/>
      <c r="B9" s="262" t="s">
        <v>37</v>
      </c>
      <c r="C9" s="264">
        <v>1</v>
      </c>
      <c r="D9" s="266" t="s">
        <v>38</v>
      </c>
      <c r="E9" s="269">
        <v>13811.95</v>
      </c>
      <c r="F9" s="269">
        <v>2384.0500000000002</v>
      </c>
      <c r="G9" s="269">
        <v>16196</v>
      </c>
      <c r="H9" s="270">
        <f t="shared" si="0"/>
        <v>14408.912058058018</v>
      </c>
      <c r="I9" s="269">
        <f t="shared" si="1"/>
        <v>2487.0879419419798</v>
      </c>
      <c r="J9" s="271">
        <f t="shared" si="6"/>
        <v>16896</v>
      </c>
      <c r="K9" s="269">
        <v>14841.18</v>
      </c>
      <c r="L9" s="269">
        <v>2561.6999999999998</v>
      </c>
      <c r="M9" s="269">
        <v>17402.88</v>
      </c>
      <c r="N9" s="270">
        <v>15286.42</v>
      </c>
      <c r="O9" s="269">
        <v>2638.55</v>
      </c>
      <c r="P9" s="271">
        <v>17924.97</v>
      </c>
      <c r="Q9" s="366">
        <f t="shared" si="2"/>
        <v>80</v>
      </c>
      <c r="R9" s="364">
        <f t="shared" si="3"/>
        <v>4.3220548283526838E-2</v>
      </c>
      <c r="S9" s="270">
        <f t="shared" si="7"/>
        <v>52.159999999999854</v>
      </c>
      <c r="T9" s="270">
        <f t="shared" si="8"/>
        <v>700</v>
      </c>
      <c r="U9" s="270">
        <v>14364.43</v>
      </c>
      <c r="V9" s="269">
        <v>2479.41</v>
      </c>
      <c r="W9" s="271">
        <v>16843.84</v>
      </c>
      <c r="X9" s="321">
        <f t="shared" si="4"/>
        <v>0.85280019283013841</v>
      </c>
      <c r="Y9" s="322">
        <f t="shared" si="5"/>
        <v>0.1471998071698615</v>
      </c>
      <c r="AA9" s="59"/>
    </row>
    <row r="10" spans="1:27">
      <c r="A10" s="762"/>
      <c r="B10" s="262" t="s">
        <v>37</v>
      </c>
      <c r="C10" s="264">
        <v>2</v>
      </c>
      <c r="D10" s="266" t="s">
        <v>39</v>
      </c>
      <c r="E10" s="269">
        <v>13742.11</v>
      </c>
      <c r="F10" s="269">
        <v>2373.89</v>
      </c>
      <c r="G10" s="269">
        <v>16116</v>
      </c>
      <c r="H10" s="270">
        <f t="shared" si="0"/>
        <v>14338.995446474599</v>
      </c>
      <c r="I10" s="269">
        <f t="shared" si="1"/>
        <v>2477.0045535254026</v>
      </c>
      <c r="J10" s="271">
        <f t="shared" si="6"/>
        <v>16816</v>
      </c>
      <c r="K10" s="269">
        <v>14769.17</v>
      </c>
      <c r="L10" s="269">
        <v>2551.31</v>
      </c>
      <c r="M10" s="269">
        <v>17320.48</v>
      </c>
      <c r="N10" s="270">
        <v>15212.25</v>
      </c>
      <c r="O10" s="269">
        <v>2627.85</v>
      </c>
      <c r="P10" s="271">
        <v>17840.099999999999</v>
      </c>
      <c r="Q10" s="366">
        <f t="shared" si="2"/>
        <v>80</v>
      </c>
      <c r="R10" s="364">
        <f t="shared" si="3"/>
        <v>4.3435095557210257E-2</v>
      </c>
      <c r="S10" s="270">
        <f t="shared" si="7"/>
        <v>55.360000000000582</v>
      </c>
      <c r="T10" s="270">
        <f t="shared" si="8"/>
        <v>700</v>
      </c>
      <c r="U10" s="270">
        <v>14291.79</v>
      </c>
      <c r="V10" s="269">
        <v>2468.85</v>
      </c>
      <c r="W10" s="271">
        <v>16760.64</v>
      </c>
      <c r="X10" s="321">
        <f t="shared" si="4"/>
        <v>0.85269953891975492</v>
      </c>
      <c r="Y10" s="322">
        <f t="shared" si="5"/>
        <v>0.14730046108024517</v>
      </c>
      <c r="AA10" s="59"/>
    </row>
    <row r="11" spans="1:27">
      <c r="A11" s="762"/>
      <c r="B11" s="262" t="s">
        <v>37</v>
      </c>
      <c r="C11" s="264">
        <v>3</v>
      </c>
      <c r="D11" s="266" t="s">
        <v>40</v>
      </c>
      <c r="E11" s="269">
        <v>13568.06</v>
      </c>
      <c r="F11" s="269">
        <v>2467.94</v>
      </c>
      <c r="G11" s="269">
        <v>16036</v>
      </c>
      <c r="H11" s="270">
        <f t="shared" si="0"/>
        <v>14160.327609033522</v>
      </c>
      <c r="I11" s="269">
        <f t="shared" si="1"/>
        <v>2575.6723909664797</v>
      </c>
      <c r="J11" s="271">
        <f t="shared" si="6"/>
        <v>16736</v>
      </c>
      <c r="K11" s="269">
        <v>14585.14</v>
      </c>
      <c r="L11" s="269">
        <v>2652.94</v>
      </c>
      <c r="M11" s="269">
        <v>17238.080000000002</v>
      </c>
      <c r="N11" s="270">
        <v>15022.69</v>
      </c>
      <c r="O11" s="269">
        <v>2732.53</v>
      </c>
      <c r="P11" s="271">
        <v>17755.22</v>
      </c>
      <c r="Q11" s="366">
        <f t="shared" si="2"/>
        <v>80</v>
      </c>
      <c r="R11" s="364">
        <f t="shared" si="3"/>
        <v>4.3651783487153928E-2</v>
      </c>
      <c r="S11" s="270">
        <f t="shared" si="7"/>
        <v>58.56000000000131</v>
      </c>
      <c r="T11" s="270">
        <f t="shared" si="8"/>
        <v>700</v>
      </c>
      <c r="U11" s="270">
        <v>14110.78</v>
      </c>
      <c r="V11" s="269">
        <v>2566.66</v>
      </c>
      <c r="W11" s="271">
        <v>16677.439999999999</v>
      </c>
      <c r="X11" s="321">
        <f t="shared" si="4"/>
        <v>0.84609988103689782</v>
      </c>
      <c r="Y11" s="322">
        <f t="shared" si="5"/>
        <v>0.15390011896310227</v>
      </c>
      <c r="AA11" s="59"/>
    </row>
    <row r="12" spans="1:27">
      <c r="A12" s="762"/>
      <c r="B12" s="262" t="s">
        <v>41</v>
      </c>
      <c r="C12" s="264">
        <v>1</v>
      </c>
      <c r="D12" s="266" t="s">
        <v>42</v>
      </c>
      <c r="E12" s="269">
        <v>13075.94</v>
      </c>
      <c r="F12" s="269">
        <v>2880.06</v>
      </c>
      <c r="G12" s="269">
        <v>15956</v>
      </c>
      <c r="H12" s="270">
        <f t="shared" si="0"/>
        <v>13649.592321190965</v>
      </c>
      <c r="I12" s="269">
        <f t="shared" si="1"/>
        <v>3006.4076788090324</v>
      </c>
      <c r="J12" s="271">
        <f t="shared" si="6"/>
        <v>16656</v>
      </c>
      <c r="K12" s="269">
        <v>14059.08</v>
      </c>
      <c r="L12" s="269">
        <v>3096.6</v>
      </c>
      <c r="M12" s="269">
        <v>17155.68</v>
      </c>
      <c r="N12" s="270">
        <v>14480.85</v>
      </c>
      <c r="O12" s="269">
        <v>3189.5</v>
      </c>
      <c r="P12" s="271">
        <v>17670.349999999999</v>
      </c>
      <c r="Q12" s="366">
        <f>J12-J13</f>
        <v>80</v>
      </c>
      <c r="R12" s="364">
        <f t="shared" si="3"/>
        <v>4.3870644271747361E-2</v>
      </c>
      <c r="S12" s="270">
        <f t="shared" si="7"/>
        <v>61.759999999998399</v>
      </c>
      <c r="T12" s="270">
        <f t="shared" si="8"/>
        <v>700</v>
      </c>
      <c r="U12" s="270">
        <v>13598.98</v>
      </c>
      <c r="V12" s="269">
        <v>2995.26</v>
      </c>
      <c r="W12" s="271">
        <v>16594.240000000002</v>
      </c>
      <c r="X12" s="321">
        <f t="shared" si="4"/>
        <v>0.81950001928379956</v>
      </c>
      <c r="Y12" s="322">
        <f t="shared" si="5"/>
        <v>0.18049998071620033</v>
      </c>
      <c r="AA12" s="59"/>
    </row>
    <row r="13" spans="1:27" ht="15" thickBot="1">
      <c r="A13" s="762"/>
      <c r="B13" s="262" t="s">
        <v>41</v>
      </c>
      <c r="C13" s="264">
        <v>2</v>
      </c>
      <c r="D13" s="266" t="s">
        <v>43</v>
      </c>
      <c r="E13" s="269">
        <v>12984.98</v>
      </c>
      <c r="F13" s="269">
        <v>2891.02</v>
      </c>
      <c r="G13" s="269">
        <v>15876</v>
      </c>
      <c r="H13" s="270">
        <f t="shared" si="0"/>
        <v>13557.510785510785</v>
      </c>
      <c r="I13" s="269">
        <f t="shared" si="1"/>
        <v>3018.4892144892137</v>
      </c>
      <c r="J13" s="316">
        <f>D2</f>
        <v>16576</v>
      </c>
      <c r="K13" s="269">
        <v>13964.24</v>
      </c>
      <c r="L13" s="269">
        <v>3109.04</v>
      </c>
      <c r="M13" s="269">
        <v>17073.28</v>
      </c>
      <c r="N13" s="270">
        <v>14383.17</v>
      </c>
      <c r="O13" s="269">
        <v>3202.31</v>
      </c>
      <c r="P13" s="271">
        <v>17585.48</v>
      </c>
      <c r="Q13" s="367"/>
      <c r="R13" s="365">
        <f t="shared" si="3"/>
        <v>4.4091710758377367E-2</v>
      </c>
      <c r="S13" s="314">
        <f t="shared" si="7"/>
        <v>64.959999999999127</v>
      </c>
      <c r="T13" s="314">
        <f t="shared" si="8"/>
        <v>700</v>
      </c>
      <c r="U13" s="314">
        <v>13504.38</v>
      </c>
      <c r="V13" s="315">
        <v>3006.66</v>
      </c>
      <c r="W13" s="316">
        <v>16511.04</v>
      </c>
      <c r="X13" s="323">
        <f t="shared" si="4"/>
        <v>0.81790002325716615</v>
      </c>
      <c r="Y13" s="324">
        <f t="shared" si="5"/>
        <v>0.18209997674283385</v>
      </c>
      <c r="AA13" s="59"/>
    </row>
    <row r="14" spans="1:27">
      <c r="A14" s="769" t="s">
        <v>475</v>
      </c>
      <c r="B14" s="301" t="s">
        <v>28</v>
      </c>
      <c r="C14" s="302">
        <v>1</v>
      </c>
      <c r="D14" s="325" t="s">
        <v>44</v>
      </c>
      <c r="E14" s="312">
        <v>18834.46</v>
      </c>
      <c r="F14" s="312">
        <v>2556.08</v>
      </c>
      <c r="G14" s="312">
        <v>21390.54</v>
      </c>
      <c r="H14" s="311">
        <f t="shared" si="0"/>
        <v>19587.84</v>
      </c>
      <c r="I14" s="312">
        <f t="shared" si="1"/>
        <v>2658.32</v>
      </c>
      <c r="J14" s="313">
        <f>W14</f>
        <v>22246.16</v>
      </c>
      <c r="K14" s="312">
        <v>20175.48</v>
      </c>
      <c r="L14" s="312">
        <v>2738.07</v>
      </c>
      <c r="M14" s="312">
        <v>22913.55</v>
      </c>
      <c r="N14" s="311">
        <v>20780.740000000002</v>
      </c>
      <c r="O14" s="312">
        <v>2820.21</v>
      </c>
      <c r="P14" s="313">
        <v>23600.95</v>
      </c>
      <c r="Q14" s="366">
        <f t="shared" ref="Q14:Q22" si="9">J14-J15</f>
        <v>1868.4399999999987</v>
      </c>
      <c r="R14" s="363">
        <f t="shared" si="3"/>
        <v>3.9999925200579378E-2</v>
      </c>
      <c r="S14" s="311">
        <f>J14-W14</f>
        <v>0</v>
      </c>
      <c r="T14" s="311">
        <f t="shared" si="8"/>
        <v>855.61999999999898</v>
      </c>
      <c r="U14" s="311">
        <v>19587.84</v>
      </c>
      <c r="V14" s="312">
        <v>2658.32</v>
      </c>
      <c r="W14" s="313">
        <v>22246.16</v>
      </c>
      <c r="X14" s="319">
        <f t="shared" si="4"/>
        <v>0.88050432074569274</v>
      </c>
      <c r="Y14" s="320">
        <f t="shared" si="5"/>
        <v>0.11949567925430726</v>
      </c>
    </row>
    <row r="15" spans="1:27">
      <c r="A15" s="762"/>
      <c r="B15" s="262" t="s">
        <v>30</v>
      </c>
      <c r="C15" s="264">
        <v>1</v>
      </c>
      <c r="D15" s="266" t="s">
        <v>45</v>
      </c>
      <c r="E15" s="269">
        <v>17487.599999999999</v>
      </c>
      <c r="F15" s="269">
        <v>2106.37</v>
      </c>
      <c r="G15" s="269">
        <v>19593.97</v>
      </c>
      <c r="H15" s="270">
        <f t="shared" si="0"/>
        <v>18187.099999999995</v>
      </c>
      <c r="I15" s="269">
        <f t="shared" si="1"/>
        <v>2190.62</v>
      </c>
      <c r="J15" s="271">
        <f>W15</f>
        <v>20377.72</v>
      </c>
      <c r="K15" s="269">
        <v>18732.71</v>
      </c>
      <c r="L15" s="269">
        <v>2256.34</v>
      </c>
      <c r="M15" s="269">
        <v>20989.05</v>
      </c>
      <c r="N15" s="270">
        <v>19294.689999999999</v>
      </c>
      <c r="O15" s="269">
        <v>2324.0300000000002</v>
      </c>
      <c r="P15" s="271">
        <v>21618.720000000001</v>
      </c>
      <c r="Q15" s="366">
        <f t="shared" si="9"/>
        <v>1891.8100000000013</v>
      </c>
      <c r="R15" s="364">
        <f t="shared" si="3"/>
        <v>3.9999550882235502E-2</v>
      </c>
      <c r="S15" s="270">
        <f>J15-W15</f>
        <v>0</v>
      </c>
      <c r="T15" s="270">
        <f t="shared" si="8"/>
        <v>783.75</v>
      </c>
      <c r="U15" s="270">
        <v>18187.099999999999</v>
      </c>
      <c r="V15" s="269">
        <v>2190.62</v>
      </c>
      <c r="W15" s="271">
        <v>20377.72</v>
      </c>
      <c r="X15" s="321">
        <f t="shared" si="4"/>
        <v>0.89249925899462723</v>
      </c>
      <c r="Y15" s="322">
        <f t="shared" si="5"/>
        <v>0.10750074100537253</v>
      </c>
    </row>
    <row r="16" spans="1:27">
      <c r="A16" s="762"/>
      <c r="B16" s="262" t="s">
        <v>30</v>
      </c>
      <c r="C16" s="264">
        <v>2</v>
      </c>
      <c r="D16" s="266" t="s">
        <v>46</v>
      </c>
      <c r="E16" s="269">
        <v>15721.65</v>
      </c>
      <c r="F16" s="269">
        <v>2053.2600000000002</v>
      </c>
      <c r="G16" s="269">
        <v>17774.91</v>
      </c>
      <c r="H16" s="270">
        <f t="shared" si="0"/>
        <v>16350.52</v>
      </c>
      <c r="I16" s="269">
        <f t="shared" si="1"/>
        <v>2135.3900000000003</v>
      </c>
      <c r="J16" s="271">
        <f>W16</f>
        <v>18485.91</v>
      </c>
      <c r="K16" s="269">
        <v>16841.04</v>
      </c>
      <c r="L16" s="269">
        <v>2199.4499999999998</v>
      </c>
      <c r="M16" s="269">
        <v>19040.490000000002</v>
      </c>
      <c r="N16" s="270">
        <v>17346.27</v>
      </c>
      <c r="O16" s="269">
        <v>2265.4299999999998</v>
      </c>
      <c r="P16" s="271">
        <v>19611.7</v>
      </c>
      <c r="Q16" s="366">
        <f t="shared" si="9"/>
        <v>1139.0400000000009</v>
      </c>
      <c r="R16" s="364">
        <f t="shared" si="3"/>
        <v>4.0000202532671114E-2</v>
      </c>
      <c r="S16" s="270">
        <f>J16-W16</f>
        <v>0</v>
      </c>
      <c r="T16" s="270">
        <f t="shared" si="8"/>
        <v>711</v>
      </c>
      <c r="U16" s="270">
        <v>16350.52</v>
      </c>
      <c r="V16" s="269">
        <v>2135.39</v>
      </c>
      <c r="W16" s="271">
        <v>18485.91</v>
      </c>
      <c r="X16" s="321">
        <f t="shared" si="4"/>
        <v>0.88448553519951145</v>
      </c>
      <c r="Y16" s="322">
        <f t="shared" si="5"/>
        <v>0.1155144648004886</v>
      </c>
    </row>
    <row r="17" spans="1:26">
      <c r="A17" s="762"/>
      <c r="B17" s="262" t="s">
        <v>33</v>
      </c>
      <c r="C17" s="264">
        <v>1</v>
      </c>
      <c r="D17" s="266" t="s">
        <v>47</v>
      </c>
      <c r="E17" s="269">
        <v>14318.22</v>
      </c>
      <c r="F17" s="269">
        <v>2361.46</v>
      </c>
      <c r="G17" s="269">
        <v>16679.68</v>
      </c>
      <c r="H17" s="270">
        <f t="shared" si="0"/>
        <v>14890.949999999999</v>
      </c>
      <c r="I17" s="269">
        <f t="shared" si="1"/>
        <v>2455.92</v>
      </c>
      <c r="J17" s="271">
        <f>W17</f>
        <v>17346.87</v>
      </c>
      <c r="K17" s="269">
        <v>15337.68</v>
      </c>
      <c r="L17" s="269">
        <v>2529.6</v>
      </c>
      <c r="M17" s="269">
        <v>17867.28</v>
      </c>
      <c r="N17" s="270">
        <v>15797.81</v>
      </c>
      <c r="O17" s="269">
        <v>2605.4899999999998</v>
      </c>
      <c r="P17" s="271">
        <v>18403.3</v>
      </c>
      <c r="Q17" s="366">
        <f t="shared" si="9"/>
        <v>290.86999999999898</v>
      </c>
      <c r="R17" s="364">
        <f t="shared" si="3"/>
        <v>4.0000167868927905E-2</v>
      </c>
      <c r="S17" s="270">
        <f>J17-W17</f>
        <v>0</v>
      </c>
      <c r="T17" s="270">
        <f t="shared" si="8"/>
        <v>667.18999999999869</v>
      </c>
      <c r="U17" s="270">
        <v>14890.95</v>
      </c>
      <c r="V17" s="269">
        <v>2455.92</v>
      </c>
      <c r="W17" s="271">
        <v>17346.87</v>
      </c>
      <c r="X17" s="321">
        <f t="shared" si="4"/>
        <v>0.85842287398245332</v>
      </c>
      <c r="Y17" s="322">
        <f t="shared" si="5"/>
        <v>0.14157712601754668</v>
      </c>
    </row>
    <row r="18" spans="1:26">
      <c r="A18" s="762"/>
      <c r="B18" s="262" t="s">
        <v>33</v>
      </c>
      <c r="C18" s="264">
        <v>2</v>
      </c>
      <c r="D18" s="266" t="s">
        <v>48</v>
      </c>
      <c r="E18" s="269">
        <v>13858.45</v>
      </c>
      <c r="F18" s="269">
        <v>2522.86</v>
      </c>
      <c r="G18" s="269">
        <v>16381.31</v>
      </c>
      <c r="H18" s="270">
        <f t="shared" si="0"/>
        <v>14429.236080523297</v>
      </c>
      <c r="I18" s="269">
        <f t="shared" si="1"/>
        <v>2626.7639194767016</v>
      </c>
      <c r="J18" s="271">
        <f t="shared" ref="J18:J23" si="10">J19+$Y$1</f>
        <v>17056</v>
      </c>
      <c r="K18" s="269">
        <v>14862.12</v>
      </c>
      <c r="L18" s="269">
        <v>2705.56</v>
      </c>
      <c r="M18" s="269">
        <v>17567.68</v>
      </c>
      <c r="N18" s="270">
        <v>15307.98</v>
      </c>
      <c r="O18" s="269">
        <v>2786.73</v>
      </c>
      <c r="P18" s="271">
        <v>18094.71</v>
      </c>
      <c r="Q18" s="366">
        <f t="shared" si="9"/>
        <v>80</v>
      </c>
      <c r="R18" s="364">
        <f t="shared" si="3"/>
        <v>4.118657176990137E-2</v>
      </c>
      <c r="S18" s="270">
        <f t="shared" ref="S18:S24" si="11">J18-W18</f>
        <v>19.43999999999869</v>
      </c>
      <c r="T18" s="270">
        <f>J18-G18</f>
        <v>674.69000000000051</v>
      </c>
      <c r="U18" s="270">
        <v>14412.79</v>
      </c>
      <c r="V18" s="269">
        <v>2623.77</v>
      </c>
      <c r="W18" s="271">
        <v>17036.560000000001</v>
      </c>
      <c r="X18" s="321">
        <f t="shared" si="4"/>
        <v>0.84599179646595313</v>
      </c>
      <c r="Y18" s="322">
        <f t="shared" si="5"/>
        <v>0.15400820353404676</v>
      </c>
    </row>
    <row r="19" spans="1:26">
      <c r="A19" s="762"/>
      <c r="B19" s="262" t="s">
        <v>33</v>
      </c>
      <c r="C19" s="264">
        <v>3</v>
      </c>
      <c r="D19" s="266" t="s">
        <v>49</v>
      </c>
      <c r="E19" s="269">
        <v>13655.56</v>
      </c>
      <c r="F19" s="269">
        <v>2620.44</v>
      </c>
      <c r="G19" s="269">
        <v>16276</v>
      </c>
      <c r="H19" s="270">
        <f t="shared" si="0"/>
        <v>14242.857421025767</v>
      </c>
      <c r="I19" s="269">
        <f t="shared" si="1"/>
        <v>2733.1425789742329</v>
      </c>
      <c r="J19" s="271">
        <f t="shared" si="10"/>
        <v>16976</v>
      </c>
      <c r="K19" s="269">
        <v>14670.15</v>
      </c>
      <c r="L19" s="269">
        <v>2815.13</v>
      </c>
      <c r="M19" s="269">
        <v>17485.28</v>
      </c>
      <c r="N19" s="270">
        <v>15110.25</v>
      </c>
      <c r="O19" s="269">
        <v>2899.58</v>
      </c>
      <c r="P19" s="271">
        <v>18009.830000000002</v>
      </c>
      <c r="Q19" s="366">
        <f t="shared" si="9"/>
        <v>80</v>
      </c>
      <c r="R19" s="364">
        <f t="shared" si="3"/>
        <v>4.3008110100761776E-2</v>
      </c>
      <c r="S19" s="270">
        <f t="shared" si="11"/>
        <v>48.959999999999127</v>
      </c>
      <c r="T19" s="270">
        <f t="shared" ref="T19:T60" si="12">J19-G19</f>
        <v>700</v>
      </c>
      <c r="U19" s="270">
        <v>14201.78</v>
      </c>
      <c r="V19" s="269">
        <v>2725.26</v>
      </c>
      <c r="W19" s="271">
        <v>16927.04</v>
      </c>
      <c r="X19" s="321">
        <f t="shared" si="4"/>
        <v>0.83899961245439247</v>
      </c>
      <c r="Y19" s="322">
        <f t="shared" si="5"/>
        <v>0.1610003875456075</v>
      </c>
    </row>
    <row r="20" spans="1:26">
      <c r="A20" s="762"/>
      <c r="B20" s="262" t="s">
        <v>37</v>
      </c>
      <c r="C20" s="264">
        <v>1</v>
      </c>
      <c r="D20" s="266" t="s">
        <v>50</v>
      </c>
      <c r="E20" s="269">
        <v>13698.58</v>
      </c>
      <c r="F20" s="269">
        <v>2497.42</v>
      </c>
      <c r="G20" s="269">
        <v>16196</v>
      </c>
      <c r="H20" s="270">
        <f t="shared" si="0"/>
        <v>14290.636928396376</v>
      </c>
      <c r="I20" s="269">
        <f t="shared" si="1"/>
        <v>2605.3630716036255</v>
      </c>
      <c r="J20" s="271">
        <f t="shared" si="10"/>
        <v>16896</v>
      </c>
      <c r="K20" s="269">
        <v>14719.36</v>
      </c>
      <c r="L20" s="269">
        <v>2683.52</v>
      </c>
      <c r="M20" s="269">
        <v>17402.88</v>
      </c>
      <c r="N20" s="270">
        <v>15160.94</v>
      </c>
      <c r="O20" s="269">
        <v>2764.03</v>
      </c>
      <c r="P20" s="271">
        <v>17924.97</v>
      </c>
      <c r="Q20" s="366">
        <f t="shared" si="9"/>
        <v>80</v>
      </c>
      <c r="R20" s="364">
        <f t="shared" si="3"/>
        <v>4.3220548283526838E-2</v>
      </c>
      <c r="S20" s="270">
        <f t="shared" si="11"/>
        <v>52.159999999999854</v>
      </c>
      <c r="T20" s="270">
        <f t="shared" si="12"/>
        <v>700</v>
      </c>
      <c r="U20" s="270">
        <v>14246.52</v>
      </c>
      <c r="V20" s="269">
        <v>2597.3200000000002</v>
      </c>
      <c r="W20" s="271">
        <v>16843.84</v>
      </c>
      <c r="X20" s="321">
        <f t="shared" si="4"/>
        <v>0.84580000759921736</v>
      </c>
      <c r="Y20" s="322">
        <f t="shared" si="5"/>
        <v>0.15419999240078275</v>
      </c>
    </row>
    <row r="21" spans="1:26">
      <c r="A21" s="762"/>
      <c r="B21" s="262" t="s">
        <v>37</v>
      </c>
      <c r="C21" s="264">
        <v>2</v>
      </c>
      <c r="D21" s="266" t="s">
        <v>51</v>
      </c>
      <c r="E21" s="269">
        <v>13645.42</v>
      </c>
      <c r="F21" s="269">
        <v>2470.58</v>
      </c>
      <c r="G21" s="269">
        <v>16116</v>
      </c>
      <c r="H21" s="270">
        <f t="shared" si="0"/>
        <v>14238.113332187795</v>
      </c>
      <c r="I21" s="269">
        <f t="shared" si="1"/>
        <v>2577.8866678122076</v>
      </c>
      <c r="J21" s="271">
        <f t="shared" si="10"/>
        <v>16816</v>
      </c>
      <c r="K21" s="269">
        <v>14665.25</v>
      </c>
      <c r="L21" s="269">
        <v>2655.23</v>
      </c>
      <c r="M21" s="269">
        <v>17320.48</v>
      </c>
      <c r="N21" s="270">
        <v>15105.21</v>
      </c>
      <c r="O21" s="269">
        <v>2734.89</v>
      </c>
      <c r="P21" s="271">
        <v>17840.099999999999</v>
      </c>
      <c r="Q21" s="366">
        <f t="shared" si="9"/>
        <v>80</v>
      </c>
      <c r="R21" s="364">
        <f t="shared" si="3"/>
        <v>4.3435095557210257E-2</v>
      </c>
      <c r="S21" s="270">
        <f t="shared" si="11"/>
        <v>55.360000000000582</v>
      </c>
      <c r="T21" s="270">
        <f t="shared" si="12"/>
        <v>700</v>
      </c>
      <c r="U21" s="270">
        <v>14191.24</v>
      </c>
      <c r="V21" s="269">
        <v>2569.4</v>
      </c>
      <c r="W21" s="271">
        <v>16760.64</v>
      </c>
      <c r="X21" s="321">
        <f t="shared" si="4"/>
        <v>0.84670036466387932</v>
      </c>
      <c r="Y21" s="322">
        <f t="shared" si="5"/>
        <v>0.15329963533612082</v>
      </c>
    </row>
    <row r="22" spans="1:26">
      <c r="A22" s="762"/>
      <c r="B22" s="262" t="s">
        <v>37</v>
      </c>
      <c r="C22" s="264">
        <v>3</v>
      </c>
      <c r="D22" s="266" t="s">
        <v>52</v>
      </c>
      <c r="E22" s="269">
        <v>13491.09</v>
      </c>
      <c r="F22" s="269">
        <v>2544.91</v>
      </c>
      <c r="G22" s="269">
        <v>16036</v>
      </c>
      <c r="H22" s="270">
        <f t="shared" si="0"/>
        <v>14079.996527044919</v>
      </c>
      <c r="I22" s="269">
        <f t="shared" si="1"/>
        <v>2656.0034729550821</v>
      </c>
      <c r="J22" s="271">
        <f t="shared" si="10"/>
        <v>16736</v>
      </c>
      <c r="K22" s="269">
        <v>14502.4</v>
      </c>
      <c r="L22" s="269">
        <v>2735.68</v>
      </c>
      <c r="M22" s="269">
        <v>17238.080000000002</v>
      </c>
      <c r="N22" s="270">
        <v>14937.47</v>
      </c>
      <c r="O22" s="269">
        <v>2817.75</v>
      </c>
      <c r="P22" s="271">
        <v>17755.22</v>
      </c>
      <c r="Q22" s="366">
        <f t="shared" si="9"/>
        <v>80</v>
      </c>
      <c r="R22" s="364">
        <f t="shared" si="3"/>
        <v>4.3651783487153928E-2</v>
      </c>
      <c r="S22" s="270">
        <f t="shared" si="11"/>
        <v>58.56000000000131</v>
      </c>
      <c r="T22" s="270">
        <f t="shared" si="12"/>
        <v>700</v>
      </c>
      <c r="U22" s="270">
        <v>14030.73</v>
      </c>
      <c r="V22" s="269">
        <v>2646.71</v>
      </c>
      <c r="W22" s="271">
        <v>16677.439999999999</v>
      </c>
      <c r="X22" s="321">
        <f t="shared" si="4"/>
        <v>0.84129998369054249</v>
      </c>
      <c r="Y22" s="322">
        <f t="shared" si="5"/>
        <v>0.15870001630945757</v>
      </c>
    </row>
    <row r="23" spans="1:26">
      <c r="A23" s="762"/>
      <c r="B23" s="262" t="s">
        <v>41</v>
      </c>
      <c r="C23" s="264">
        <v>1</v>
      </c>
      <c r="D23" s="266" t="s">
        <v>53</v>
      </c>
      <c r="E23" s="269">
        <v>13032.86</v>
      </c>
      <c r="F23" s="269">
        <v>2923.14</v>
      </c>
      <c r="G23" s="269">
        <v>15956</v>
      </c>
      <c r="H23" s="270">
        <f t="shared" si="0"/>
        <v>13604.615548527681</v>
      </c>
      <c r="I23" s="269">
        <f t="shared" si="1"/>
        <v>3051.3844514723178</v>
      </c>
      <c r="J23" s="271">
        <f t="shared" si="10"/>
        <v>16656</v>
      </c>
      <c r="K23" s="269">
        <v>14012.76</v>
      </c>
      <c r="L23" s="269">
        <v>3142.92</v>
      </c>
      <c r="M23" s="269">
        <v>17155.68</v>
      </c>
      <c r="N23" s="270">
        <v>14433.14</v>
      </c>
      <c r="O23" s="269">
        <v>3237.21</v>
      </c>
      <c r="P23" s="271">
        <v>17670.349999999999</v>
      </c>
      <c r="Q23" s="366">
        <f>J23-J24</f>
        <v>80</v>
      </c>
      <c r="R23" s="364">
        <f t="shared" si="3"/>
        <v>4.3870644271747361E-2</v>
      </c>
      <c r="S23" s="270">
        <f t="shared" si="11"/>
        <v>61.759999999998399</v>
      </c>
      <c r="T23" s="270">
        <f t="shared" si="12"/>
        <v>700</v>
      </c>
      <c r="U23" s="270">
        <v>13554.17</v>
      </c>
      <c r="V23" s="269">
        <v>3040.07</v>
      </c>
      <c r="W23" s="271">
        <v>16594.240000000002</v>
      </c>
      <c r="X23" s="321">
        <f t="shared" si="4"/>
        <v>0.81679968470987518</v>
      </c>
      <c r="Y23" s="322">
        <f t="shared" si="5"/>
        <v>0.18320031529012476</v>
      </c>
    </row>
    <row r="24" spans="1:26" ht="15" thickBot="1">
      <c r="A24" s="770"/>
      <c r="B24" s="303" t="s">
        <v>41</v>
      </c>
      <c r="C24" s="304">
        <v>2</v>
      </c>
      <c r="D24" s="326" t="s">
        <v>54</v>
      </c>
      <c r="E24" s="315">
        <v>12973.87</v>
      </c>
      <c r="F24" s="315">
        <v>2902.13</v>
      </c>
      <c r="G24" s="315">
        <v>15876</v>
      </c>
      <c r="H24" s="314">
        <f t="shared" si="0"/>
        <v>13545.90530457197</v>
      </c>
      <c r="I24" s="315">
        <f t="shared" si="1"/>
        <v>3030.0946954280284</v>
      </c>
      <c r="J24" s="316">
        <f>D2</f>
        <v>16576</v>
      </c>
      <c r="K24" s="315">
        <v>13952.29</v>
      </c>
      <c r="L24" s="315">
        <v>3120.99</v>
      </c>
      <c r="M24" s="315">
        <v>17073.28</v>
      </c>
      <c r="N24" s="314">
        <v>14370.86</v>
      </c>
      <c r="O24" s="315">
        <v>3214.62</v>
      </c>
      <c r="P24" s="316">
        <v>17585.48</v>
      </c>
      <c r="Q24" s="367"/>
      <c r="R24" s="365">
        <f t="shared" si="3"/>
        <v>4.4091710758377367E-2</v>
      </c>
      <c r="S24" s="314">
        <f t="shared" si="11"/>
        <v>64.959999999999127</v>
      </c>
      <c r="T24" s="314">
        <f t="shared" si="12"/>
        <v>700</v>
      </c>
      <c r="U24" s="314">
        <v>13492.82</v>
      </c>
      <c r="V24" s="315">
        <v>3018.22</v>
      </c>
      <c r="W24" s="316">
        <v>16511.04</v>
      </c>
      <c r="X24" s="323">
        <f t="shared" si="4"/>
        <v>0.81719988565226653</v>
      </c>
      <c r="Y24" s="324">
        <f t="shared" si="5"/>
        <v>0.18280011434773338</v>
      </c>
      <c r="Z24" s="274"/>
    </row>
    <row r="25" spans="1:26">
      <c r="A25" s="762" t="s">
        <v>476</v>
      </c>
      <c r="B25" s="262" t="s">
        <v>28</v>
      </c>
      <c r="C25" s="264">
        <v>1</v>
      </c>
      <c r="D25" s="266" t="s">
        <v>55</v>
      </c>
      <c r="E25" s="269">
        <v>26540.58</v>
      </c>
      <c r="F25" s="269">
        <v>2309.65</v>
      </c>
      <c r="G25" s="269">
        <v>28850.23</v>
      </c>
      <c r="H25" s="270">
        <f t="shared" ref="H25:H57" si="13">U25</f>
        <v>27602.2</v>
      </c>
      <c r="I25" s="269">
        <f t="shared" ref="I25:I57" si="14">V25</f>
        <v>2402.04</v>
      </c>
      <c r="J25" s="271">
        <f t="shared" ref="J25:J57" si="15">W25</f>
        <v>30004.240000000002</v>
      </c>
      <c r="K25" s="269">
        <v>28430.27</v>
      </c>
      <c r="L25" s="269">
        <v>2474.1</v>
      </c>
      <c r="M25" s="269">
        <v>30904.37</v>
      </c>
      <c r="N25" s="270">
        <v>29283.18</v>
      </c>
      <c r="O25" s="269">
        <v>2548.3200000000002</v>
      </c>
      <c r="P25" s="271">
        <v>31831.5</v>
      </c>
      <c r="Q25" s="366">
        <f t="shared" ref="Q25:Q33" si="16">J25-J26</f>
        <v>899.18000000000029</v>
      </c>
      <c r="R25" s="363">
        <f t="shared" si="3"/>
        <v>4.0000027729415022E-2</v>
      </c>
      <c r="S25" s="311">
        <f t="shared" ref="S25:S60" si="17">J25-W25</f>
        <v>0</v>
      </c>
      <c r="T25" s="311">
        <f t="shared" si="12"/>
        <v>1154.010000000002</v>
      </c>
      <c r="U25" s="311">
        <v>27602.2</v>
      </c>
      <c r="V25" s="312">
        <v>2402.04</v>
      </c>
      <c r="W25" s="313">
        <v>30004.240000000002</v>
      </c>
      <c r="X25" s="319"/>
      <c r="Y25" s="320"/>
    </row>
    <row r="26" spans="1:26">
      <c r="A26" s="762"/>
      <c r="B26" s="262" t="s">
        <v>30</v>
      </c>
      <c r="C26" s="264">
        <v>1</v>
      </c>
      <c r="D26" s="266" t="s">
        <v>56</v>
      </c>
      <c r="E26" s="269">
        <v>25746.78</v>
      </c>
      <c r="F26" s="269">
        <v>2238.86</v>
      </c>
      <c r="G26" s="269">
        <v>27985.64</v>
      </c>
      <c r="H26" s="270">
        <f t="shared" si="13"/>
        <v>26776.65</v>
      </c>
      <c r="I26" s="269">
        <f t="shared" si="14"/>
        <v>2328.41</v>
      </c>
      <c r="J26" s="271">
        <f t="shared" si="15"/>
        <v>29105.06</v>
      </c>
      <c r="K26" s="269">
        <v>27579.95</v>
      </c>
      <c r="L26" s="269">
        <v>2398.2600000000002</v>
      </c>
      <c r="M26" s="269">
        <v>29978.21</v>
      </c>
      <c r="N26" s="270">
        <v>28407.35</v>
      </c>
      <c r="O26" s="269">
        <v>2470.21</v>
      </c>
      <c r="P26" s="271">
        <v>30877.56</v>
      </c>
      <c r="Q26" s="366">
        <f t="shared" si="16"/>
        <v>872.06000000000131</v>
      </c>
      <c r="R26" s="364">
        <f t="shared" si="3"/>
        <v>3.9999799897376009E-2</v>
      </c>
      <c r="S26" s="270">
        <f t="shared" si="17"/>
        <v>0</v>
      </c>
      <c r="T26" s="270">
        <f t="shared" si="12"/>
        <v>1119.4200000000019</v>
      </c>
      <c r="U26" s="270">
        <v>26776.65</v>
      </c>
      <c r="V26" s="269">
        <v>2328.41</v>
      </c>
      <c r="W26" s="271">
        <v>29105.06</v>
      </c>
      <c r="X26" s="321"/>
      <c r="Y26" s="322"/>
    </row>
    <row r="27" spans="1:26">
      <c r="A27" s="762"/>
      <c r="B27" s="262" t="s">
        <v>30</v>
      </c>
      <c r="C27" s="264">
        <v>2</v>
      </c>
      <c r="D27" s="266" t="s">
        <v>57</v>
      </c>
      <c r="E27" s="269">
        <v>24975.35</v>
      </c>
      <c r="F27" s="269">
        <v>2171.77</v>
      </c>
      <c r="G27" s="269">
        <v>27147.119999999999</v>
      </c>
      <c r="H27" s="270">
        <f t="shared" si="13"/>
        <v>25974.36</v>
      </c>
      <c r="I27" s="269">
        <f t="shared" si="14"/>
        <v>2258.64</v>
      </c>
      <c r="J27" s="271">
        <f t="shared" si="15"/>
        <v>28233</v>
      </c>
      <c r="K27" s="269">
        <v>26753.59</v>
      </c>
      <c r="L27" s="269">
        <v>2326.4</v>
      </c>
      <c r="M27" s="269">
        <v>29079.99</v>
      </c>
      <c r="N27" s="270">
        <v>27556.2</v>
      </c>
      <c r="O27" s="269">
        <v>2396.19</v>
      </c>
      <c r="P27" s="271">
        <v>29952.39</v>
      </c>
      <c r="Q27" s="366">
        <f t="shared" si="16"/>
        <v>637.52000000000044</v>
      </c>
      <c r="R27" s="364">
        <f t="shared" si="3"/>
        <v>3.9999823185663974E-2</v>
      </c>
      <c r="S27" s="270">
        <f t="shared" si="17"/>
        <v>0</v>
      </c>
      <c r="T27" s="270">
        <f t="shared" si="12"/>
        <v>1085.880000000001</v>
      </c>
      <c r="U27" s="270">
        <v>25974.36</v>
      </c>
      <c r="V27" s="269">
        <v>2258.64</v>
      </c>
      <c r="W27" s="271">
        <v>28233</v>
      </c>
      <c r="X27" s="321"/>
      <c r="Y27" s="322"/>
    </row>
    <row r="28" spans="1:26">
      <c r="A28" s="762"/>
      <c r="B28" s="262" t="s">
        <v>33</v>
      </c>
      <c r="C28" s="264">
        <v>1</v>
      </c>
      <c r="D28" s="266" t="s">
        <v>58</v>
      </c>
      <c r="E28" s="269">
        <v>24421.84</v>
      </c>
      <c r="F28" s="269">
        <v>2112.2800000000002</v>
      </c>
      <c r="G28" s="269">
        <v>26534.12</v>
      </c>
      <c r="H28" s="270">
        <f t="shared" si="13"/>
        <v>25398.71</v>
      </c>
      <c r="I28" s="269">
        <f t="shared" si="14"/>
        <v>2196.77</v>
      </c>
      <c r="J28" s="271">
        <f t="shared" si="15"/>
        <v>27595.48</v>
      </c>
      <c r="K28" s="269">
        <v>26160.67</v>
      </c>
      <c r="L28" s="269">
        <v>2262.67</v>
      </c>
      <c r="M28" s="269">
        <v>28423.34</v>
      </c>
      <c r="N28" s="270">
        <v>26945.49</v>
      </c>
      <c r="O28" s="269">
        <v>2330.5500000000002</v>
      </c>
      <c r="P28" s="271">
        <v>29276.04</v>
      </c>
      <c r="Q28" s="366">
        <f t="shared" si="16"/>
        <v>1792.9399999999987</v>
      </c>
      <c r="R28" s="364">
        <f t="shared" si="3"/>
        <v>3.9999819100840828E-2</v>
      </c>
      <c r="S28" s="270">
        <f t="shared" si="17"/>
        <v>0</v>
      </c>
      <c r="T28" s="270">
        <f t="shared" si="12"/>
        <v>1061.3600000000006</v>
      </c>
      <c r="U28" s="270">
        <v>25398.71</v>
      </c>
      <c r="V28" s="269">
        <v>2196.77</v>
      </c>
      <c r="W28" s="271">
        <v>27595.48</v>
      </c>
      <c r="X28" s="321"/>
      <c r="Y28" s="322"/>
    </row>
    <row r="29" spans="1:26">
      <c r="A29" s="762"/>
      <c r="B29" s="262" t="s">
        <v>33</v>
      </c>
      <c r="C29" s="264">
        <v>2</v>
      </c>
      <c r="D29" s="266" t="s">
        <v>59</v>
      </c>
      <c r="E29" s="269">
        <v>22835.53</v>
      </c>
      <c r="F29" s="269">
        <v>1974.61</v>
      </c>
      <c r="G29" s="269">
        <v>24810.14</v>
      </c>
      <c r="H29" s="270">
        <f t="shared" si="13"/>
        <v>23748.95</v>
      </c>
      <c r="I29" s="269">
        <f t="shared" si="14"/>
        <v>2053.59</v>
      </c>
      <c r="J29" s="271">
        <f t="shared" si="15"/>
        <v>25802.54</v>
      </c>
      <c r="K29" s="269">
        <v>24461.42</v>
      </c>
      <c r="L29" s="269">
        <v>2115.1999999999998</v>
      </c>
      <c r="M29" s="269">
        <v>26576.62</v>
      </c>
      <c r="N29" s="270">
        <v>25195.26</v>
      </c>
      <c r="O29" s="269">
        <v>2178.66</v>
      </c>
      <c r="P29" s="271">
        <v>27373.919999999998</v>
      </c>
      <c r="Q29" s="366">
        <f t="shared" si="16"/>
        <v>2399.260000000002</v>
      </c>
      <c r="R29" s="364">
        <f t="shared" si="3"/>
        <v>3.9999774285836232E-2</v>
      </c>
      <c r="S29" s="270">
        <f t="shared" si="17"/>
        <v>0</v>
      </c>
      <c r="T29" s="270">
        <f t="shared" si="12"/>
        <v>992.40000000000146</v>
      </c>
      <c r="U29" s="270">
        <v>23748.95</v>
      </c>
      <c r="V29" s="269">
        <v>2053.59</v>
      </c>
      <c r="W29" s="271">
        <v>25802.54</v>
      </c>
      <c r="X29" s="321"/>
      <c r="Y29" s="322"/>
    </row>
    <row r="30" spans="1:26">
      <c r="A30" s="762"/>
      <c r="B30" s="262" t="s">
        <v>33</v>
      </c>
      <c r="C30" s="264">
        <v>3</v>
      </c>
      <c r="D30" s="266" t="s">
        <v>60</v>
      </c>
      <c r="E30" s="269">
        <v>20665.509999999998</v>
      </c>
      <c r="F30" s="269">
        <v>1837.64</v>
      </c>
      <c r="G30" s="269">
        <v>22503.15</v>
      </c>
      <c r="H30" s="270">
        <f t="shared" si="13"/>
        <v>21492.13</v>
      </c>
      <c r="I30" s="269">
        <f t="shared" si="14"/>
        <v>1911.15</v>
      </c>
      <c r="J30" s="271">
        <f t="shared" si="15"/>
        <v>23403.279999999999</v>
      </c>
      <c r="K30" s="269">
        <v>22136.89</v>
      </c>
      <c r="L30" s="269">
        <v>1968.48</v>
      </c>
      <c r="M30" s="269">
        <v>24105.37</v>
      </c>
      <c r="N30" s="270">
        <v>22801</v>
      </c>
      <c r="O30" s="269">
        <v>2027.53</v>
      </c>
      <c r="P30" s="271">
        <v>24828.53</v>
      </c>
      <c r="Q30" s="366">
        <f t="shared" si="16"/>
        <v>3562.5</v>
      </c>
      <c r="R30" s="364">
        <f t="shared" si="3"/>
        <v>4.0000177752892441E-2</v>
      </c>
      <c r="S30" s="270">
        <f t="shared" si="17"/>
        <v>0</v>
      </c>
      <c r="T30" s="270">
        <f t="shared" si="12"/>
        <v>900.12999999999738</v>
      </c>
      <c r="U30" s="270">
        <v>21492.13</v>
      </c>
      <c r="V30" s="269">
        <v>1911.15</v>
      </c>
      <c r="W30" s="271">
        <v>23403.279999999999</v>
      </c>
      <c r="X30" s="321"/>
      <c r="Y30" s="322"/>
    </row>
    <row r="31" spans="1:26">
      <c r="A31" s="762"/>
      <c r="B31" s="262" t="s">
        <v>37</v>
      </c>
      <c r="C31" s="264">
        <v>1</v>
      </c>
      <c r="D31" s="266" t="s">
        <v>61</v>
      </c>
      <c r="E31" s="269">
        <v>17512.07</v>
      </c>
      <c r="F31" s="269">
        <v>1565.61</v>
      </c>
      <c r="G31" s="269">
        <v>19077.68</v>
      </c>
      <c r="H31" s="270">
        <f t="shared" si="13"/>
        <v>18212.55</v>
      </c>
      <c r="I31" s="269">
        <f t="shared" si="14"/>
        <v>1628.23</v>
      </c>
      <c r="J31" s="271">
        <f t="shared" si="15"/>
        <v>19840.78</v>
      </c>
      <c r="K31" s="269">
        <v>18758.93</v>
      </c>
      <c r="L31" s="269">
        <v>1677.08</v>
      </c>
      <c r="M31" s="269">
        <v>20436.009999999998</v>
      </c>
      <c r="N31" s="270">
        <v>19321.7</v>
      </c>
      <c r="O31" s="269">
        <v>1727.39</v>
      </c>
      <c r="P31" s="271">
        <v>21049.09</v>
      </c>
      <c r="Q31" s="366">
        <f t="shared" si="16"/>
        <v>1474.5599999999977</v>
      </c>
      <c r="R31" s="364">
        <f t="shared" si="3"/>
        <v>3.9999622595619622E-2</v>
      </c>
      <c r="S31" s="270">
        <f t="shared" si="17"/>
        <v>0</v>
      </c>
      <c r="T31" s="270">
        <f t="shared" si="12"/>
        <v>763.09999999999854</v>
      </c>
      <c r="U31" s="270">
        <v>18212.55</v>
      </c>
      <c r="V31" s="269">
        <v>1628.23</v>
      </c>
      <c r="W31" s="271">
        <v>19840.78</v>
      </c>
      <c r="X31" s="321"/>
      <c r="Y31" s="322"/>
    </row>
    <row r="32" spans="1:26">
      <c r="A32" s="762"/>
      <c r="B32" s="262" t="s">
        <v>37</v>
      </c>
      <c r="C32" s="264">
        <v>2</v>
      </c>
      <c r="D32" s="266" t="s">
        <v>62</v>
      </c>
      <c r="E32" s="269">
        <v>16247.05</v>
      </c>
      <c r="F32" s="269">
        <v>1412.78</v>
      </c>
      <c r="G32" s="269">
        <v>17659.830000000002</v>
      </c>
      <c r="H32" s="270">
        <f t="shared" si="13"/>
        <v>16896.93</v>
      </c>
      <c r="I32" s="269">
        <f t="shared" si="14"/>
        <v>1469.29</v>
      </c>
      <c r="J32" s="271">
        <f t="shared" si="15"/>
        <v>18366.22</v>
      </c>
      <c r="K32" s="269">
        <v>17403.84</v>
      </c>
      <c r="L32" s="269">
        <v>1513.37</v>
      </c>
      <c r="M32" s="269">
        <v>18917.21</v>
      </c>
      <c r="N32" s="270">
        <v>17925.96</v>
      </c>
      <c r="O32" s="269">
        <v>1558.77</v>
      </c>
      <c r="P32" s="271">
        <v>19484.73</v>
      </c>
      <c r="Q32" s="366">
        <f t="shared" si="16"/>
        <v>363.95000000000073</v>
      </c>
      <c r="R32" s="364">
        <f t="shared" si="3"/>
        <v>3.9999818797802567E-2</v>
      </c>
      <c r="S32" s="270">
        <f t="shared" si="17"/>
        <v>0</v>
      </c>
      <c r="T32" s="270">
        <f t="shared" si="12"/>
        <v>706.38999999999942</v>
      </c>
      <c r="U32" s="270">
        <v>16896.93</v>
      </c>
      <c r="V32" s="269">
        <v>1469.29</v>
      </c>
      <c r="W32" s="271">
        <v>18366.22</v>
      </c>
      <c r="X32" s="321"/>
      <c r="Y32" s="322"/>
    </row>
    <row r="33" spans="1:25">
      <c r="A33" s="762"/>
      <c r="B33" s="262" t="s">
        <v>37</v>
      </c>
      <c r="C33" s="264">
        <v>3</v>
      </c>
      <c r="D33" s="266" t="s">
        <v>63</v>
      </c>
      <c r="E33" s="269">
        <v>15930.78</v>
      </c>
      <c r="F33" s="269">
        <v>1379.1</v>
      </c>
      <c r="G33" s="269">
        <v>17309.88</v>
      </c>
      <c r="H33" s="270">
        <f t="shared" si="13"/>
        <v>16568.009999999998</v>
      </c>
      <c r="I33" s="269">
        <f t="shared" si="14"/>
        <v>1434.26</v>
      </c>
      <c r="J33" s="271">
        <f t="shared" si="15"/>
        <v>18002.27</v>
      </c>
      <c r="K33" s="269">
        <v>17065.05</v>
      </c>
      <c r="L33" s="269">
        <v>1477.29</v>
      </c>
      <c r="M33" s="269">
        <v>18542.34</v>
      </c>
      <c r="N33" s="270">
        <v>17577</v>
      </c>
      <c r="O33" s="269">
        <v>1521.61</v>
      </c>
      <c r="P33" s="271">
        <v>19098.61</v>
      </c>
      <c r="Q33" s="366">
        <f t="shared" si="16"/>
        <v>239.47000000000116</v>
      </c>
      <c r="R33" s="364">
        <f t="shared" si="3"/>
        <v>3.9999699593526783E-2</v>
      </c>
      <c r="S33" s="270">
        <f t="shared" si="17"/>
        <v>0</v>
      </c>
      <c r="T33" s="270">
        <f t="shared" si="12"/>
        <v>692.38999999999942</v>
      </c>
      <c r="U33" s="270">
        <v>16568.009999999998</v>
      </c>
      <c r="V33" s="269">
        <v>1434.26</v>
      </c>
      <c r="W33" s="271">
        <v>18002.27</v>
      </c>
      <c r="X33" s="321"/>
      <c r="Y33" s="322"/>
    </row>
    <row r="34" spans="1:25">
      <c r="A34" s="762"/>
      <c r="B34" s="262" t="s">
        <v>41</v>
      </c>
      <c r="C34" s="264">
        <v>1</v>
      </c>
      <c r="D34" s="266" t="s">
        <v>64</v>
      </c>
      <c r="E34" s="269">
        <v>15688.66</v>
      </c>
      <c r="F34" s="269">
        <v>1390.95</v>
      </c>
      <c r="G34" s="269">
        <v>17079.61</v>
      </c>
      <c r="H34" s="270">
        <f t="shared" si="13"/>
        <v>16316.21</v>
      </c>
      <c r="I34" s="269">
        <f t="shared" si="14"/>
        <v>1446.59</v>
      </c>
      <c r="J34" s="271">
        <f t="shared" si="15"/>
        <v>17762.8</v>
      </c>
      <c r="K34" s="269">
        <v>16805.7</v>
      </c>
      <c r="L34" s="269">
        <v>1489.99</v>
      </c>
      <c r="M34" s="269">
        <v>18295.689999999999</v>
      </c>
      <c r="N34" s="270">
        <v>17309.87</v>
      </c>
      <c r="O34" s="269">
        <v>1534.69</v>
      </c>
      <c r="P34" s="271">
        <v>18844.560000000001</v>
      </c>
      <c r="Q34" s="366">
        <f>J34-J35</f>
        <v>462.79999999999927</v>
      </c>
      <c r="R34" s="364">
        <f t="shared" si="3"/>
        <v>4.0000327876339226E-2</v>
      </c>
      <c r="S34" s="270">
        <f t="shared" si="17"/>
        <v>0</v>
      </c>
      <c r="T34" s="270">
        <f t="shared" si="12"/>
        <v>683.18999999999869</v>
      </c>
      <c r="U34" s="270">
        <v>16316.21</v>
      </c>
      <c r="V34" s="269">
        <v>1446.59</v>
      </c>
      <c r="W34" s="271">
        <v>17762.8</v>
      </c>
      <c r="X34" s="321"/>
      <c r="Y34" s="322"/>
    </row>
    <row r="35" spans="1:25" ht="15" thickBot="1">
      <c r="A35" s="762"/>
      <c r="B35" s="262" t="s">
        <v>41</v>
      </c>
      <c r="C35" s="264">
        <v>2</v>
      </c>
      <c r="D35" s="266" t="s">
        <v>65</v>
      </c>
      <c r="E35" s="269">
        <v>14623.38</v>
      </c>
      <c r="F35" s="269">
        <v>1252.6199999999999</v>
      </c>
      <c r="G35" s="269">
        <v>15876</v>
      </c>
      <c r="H35" s="270">
        <f t="shared" si="13"/>
        <v>15935.03</v>
      </c>
      <c r="I35" s="269">
        <f t="shared" si="14"/>
        <v>1364.97</v>
      </c>
      <c r="J35" s="316">
        <f t="shared" si="15"/>
        <v>17300</v>
      </c>
      <c r="K35" s="269">
        <v>16413.080000000002</v>
      </c>
      <c r="L35" s="269">
        <v>1405.92</v>
      </c>
      <c r="M35" s="269">
        <v>17819</v>
      </c>
      <c r="N35" s="270">
        <v>16905.47</v>
      </c>
      <c r="O35" s="269">
        <v>1448.1</v>
      </c>
      <c r="P35" s="271">
        <v>18353.57</v>
      </c>
      <c r="Q35" s="367"/>
      <c r="R35" s="365">
        <f t="shared" si="3"/>
        <v>8.969513731418477E-2</v>
      </c>
      <c r="S35" s="314">
        <f t="shared" si="17"/>
        <v>0</v>
      </c>
      <c r="T35" s="314">
        <f t="shared" si="12"/>
        <v>1424</v>
      </c>
      <c r="U35" s="314">
        <v>15935.03</v>
      </c>
      <c r="V35" s="315">
        <v>1364.97</v>
      </c>
      <c r="W35" s="316">
        <v>17300</v>
      </c>
      <c r="X35" s="323"/>
      <c r="Y35" s="324"/>
    </row>
    <row r="36" spans="1:25">
      <c r="A36" s="769" t="s">
        <v>477</v>
      </c>
      <c r="B36" s="301" t="s">
        <v>28</v>
      </c>
      <c r="C36" s="302">
        <v>1</v>
      </c>
      <c r="D36" s="325" t="s">
        <v>66</v>
      </c>
      <c r="E36" s="312">
        <v>26592.86</v>
      </c>
      <c r="F36" s="312">
        <v>2366.48</v>
      </c>
      <c r="G36" s="312">
        <v>28959.34</v>
      </c>
      <c r="H36" s="311">
        <f t="shared" si="13"/>
        <v>27656.57</v>
      </c>
      <c r="I36" s="312">
        <f t="shared" si="14"/>
        <v>2461.14</v>
      </c>
      <c r="J36" s="313">
        <f t="shared" si="15"/>
        <v>30117.71</v>
      </c>
      <c r="K36" s="312">
        <v>28486.27</v>
      </c>
      <c r="L36" s="312">
        <v>2534.9699999999998</v>
      </c>
      <c r="M36" s="312">
        <v>31021.24</v>
      </c>
      <c r="N36" s="311">
        <v>29340.86</v>
      </c>
      <c r="O36" s="312">
        <v>2611.02</v>
      </c>
      <c r="P36" s="313">
        <v>31951.88</v>
      </c>
      <c r="Q36" s="366">
        <f t="shared" ref="Q36:Q44" si="18">J36-J37</f>
        <v>163.31999999999971</v>
      </c>
      <c r="R36" s="363">
        <f t="shared" si="3"/>
        <v>3.9999875687774633E-2</v>
      </c>
      <c r="S36" s="311">
        <f t="shared" si="17"/>
        <v>0</v>
      </c>
      <c r="T36" s="311">
        <f t="shared" si="12"/>
        <v>1158.369999999999</v>
      </c>
      <c r="U36" s="311">
        <v>27656.57</v>
      </c>
      <c r="V36" s="312">
        <v>2461.14</v>
      </c>
      <c r="W36" s="313">
        <v>30117.71</v>
      </c>
      <c r="X36" s="319"/>
      <c r="Y36" s="320"/>
    </row>
    <row r="37" spans="1:25">
      <c r="A37" s="762"/>
      <c r="B37" s="262" t="s">
        <v>30</v>
      </c>
      <c r="C37" s="264">
        <v>1</v>
      </c>
      <c r="D37" s="266" t="s">
        <v>67</v>
      </c>
      <c r="E37" s="269">
        <v>25922.07</v>
      </c>
      <c r="F37" s="269">
        <v>2880.23</v>
      </c>
      <c r="G37" s="269">
        <v>28802.3</v>
      </c>
      <c r="H37" s="270">
        <f t="shared" si="13"/>
        <v>26958.95</v>
      </c>
      <c r="I37" s="269">
        <f t="shared" si="14"/>
        <v>2995.44</v>
      </c>
      <c r="J37" s="271">
        <f t="shared" si="15"/>
        <v>29954.39</v>
      </c>
      <c r="K37" s="269">
        <v>27767.72</v>
      </c>
      <c r="L37" s="269">
        <v>3085.3</v>
      </c>
      <c r="M37" s="269">
        <v>30853.02</v>
      </c>
      <c r="N37" s="270">
        <v>28600.75</v>
      </c>
      <c r="O37" s="269">
        <v>3177.86</v>
      </c>
      <c r="P37" s="271">
        <v>31778.61</v>
      </c>
      <c r="Q37" s="366">
        <f t="shared" si="18"/>
        <v>876.88000000000102</v>
      </c>
      <c r="R37" s="364">
        <f t="shared" si="3"/>
        <v>3.999993056110096E-2</v>
      </c>
      <c r="S37" s="270">
        <f t="shared" si="17"/>
        <v>0</v>
      </c>
      <c r="T37" s="270">
        <f t="shared" si="12"/>
        <v>1152.0900000000001</v>
      </c>
      <c r="U37" s="270">
        <v>26958.95</v>
      </c>
      <c r="V37" s="269">
        <v>2995.44</v>
      </c>
      <c r="W37" s="271">
        <v>29954.39</v>
      </c>
      <c r="X37" s="321"/>
      <c r="Y37" s="322"/>
    </row>
    <row r="38" spans="1:25">
      <c r="A38" s="762"/>
      <c r="B38" s="262" t="s">
        <v>30</v>
      </c>
      <c r="C38" s="264">
        <v>2</v>
      </c>
      <c r="D38" s="266" t="s">
        <v>68</v>
      </c>
      <c r="E38" s="269">
        <v>25163.22</v>
      </c>
      <c r="F38" s="269">
        <v>2795.92</v>
      </c>
      <c r="G38" s="269">
        <v>27959.14</v>
      </c>
      <c r="H38" s="270">
        <f t="shared" si="13"/>
        <v>26169.75</v>
      </c>
      <c r="I38" s="269">
        <f t="shared" si="14"/>
        <v>2907.76</v>
      </c>
      <c r="J38" s="271">
        <f t="shared" si="15"/>
        <v>29077.51</v>
      </c>
      <c r="K38" s="269">
        <v>26954.84</v>
      </c>
      <c r="L38" s="269">
        <v>2994.99</v>
      </c>
      <c r="M38" s="269">
        <v>29949.83</v>
      </c>
      <c r="N38" s="270">
        <v>27763.49</v>
      </c>
      <c r="O38" s="269">
        <v>3084.84</v>
      </c>
      <c r="P38" s="271">
        <v>30848.33</v>
      </c>
      <c r="Q38" s="366">
        <f t="shared" si="18"/>
        <v>950.34999999999854</v>
      </c>
      <c r="R38" s="364">
        <f t="shared" si="3"/>
        <v>4.0000157372508616E-2</v>
      </c>
      <c r="S38" s="270">
        <f t="shared" si="17"/>
        <v>0</v>
      </c>
      <c r="T38" s="270">
        <f t="shared" si="12"/>
        <v>1118.369999999999</v>
      </c>
      <c r="U38" s="270">
        <v>26169.75</v>
      </c>
      <c r="V38" s="269">
        <v>2907.76</v>
      </c>
      <c r="W38" s="271">
        <v>29077.51</v>
      </c>
      <c r="X38" s="321"/>
      <c r="Y38" s="322"/>
    </row>
    <row r="39" spans="1:25">
      <c r="A39" s="762"/>
      <c r="B39" s="262" t="s">
        <v>33</v>
      </c>
      <c r="C39" s="264">
        <v>1</v>
      </c>
      <c r="D39" s="266" t="s">
        <v>69</v>
      </c>
      <c r="E39" s="269">
        <v>24340.82</v>
      </c>
      <c r="F39" s="269">
        <v>2704.53</v>
      </c>
      <c r="G39" s="269">
        <v>27045.35</v>
      </c>
      <c r="H39" s="270">
        <f t="shared" si="13"/>
        <v>25314.45</v>
      </c>
      <c r="I39" s="269">
        <f t="shared" si="14"/>
        <v>2812.71</v>
      </c>
      <c r="J39" s="271">
        <f t="shared" si="15"/>
        <v>28127.16</v>
      </c>
      <c r="K39" s="269">
        <v>26073.88</v>
      </c>
      <c r="L39" s="269">
        <v>2897.09</v>
      </c>
      <c r="M39" s="269">
        <v>28970.97</v>
      </c>
      <c r="N39" s="270">
        <v>26856.1</v>
      </c>
      <c r="O39" s="269">
        <v>2984</v>
      </c>
      <c r="P39" s="271">
        <v>29840.1</v>
      </c>
      <c r="Q39" s="366">
        <f t="shared" si="18"/>
        <v>1838.869999999999</v>
      </c>
      <c r="R39" s="364">
        <f t="shared" si="3"/>
        <v>3.9999852100268685E-2</v>
      </c>
      <c r="S39" s="270">
        <f t="shared" si="17"/>
        <v>0</v>
      </c>
      <c r="T39" s="270">
        <f t="shared" si="12"/>
        <v>1081.8100000000013</v>
      </c>
      <c r="U39" s="270">
        <v>25314.45</v>
      </c>
      <c r="V39" s="269">
        <v>2812.71</v>
      </c>
      <c r="W39" s="271">
        <v>28127.16</v>
      </c>
      <c r="X39" s="321"/>
      <c r="Y39" s="322"/>
    </row>
    <row r="40" spans="1:25">
      <c r="A40" s="762"/>
      <c r="B40" s="262" t="s">
        <v>33</v>
      </c>
      <c r="C40" s="264">
        <v>2</v>
      </c>
      <c r="D40" s="266" t="s">
        <v>70</v>
      </c>
      <c r="E40" s="269">
        <v>22749.49</v>
      </c>
      <c r="F40" s="269">
        <v>2527.71</v>
      </c>
      <c r="G40" s="269">
        <v>25277.200000000001</v>
      </c>
      <c r="H40" s="270">
        <f t="shared" si="13"/>
        <v>23659.47</v>
      </c>
      <c r="I40" s="269">
        <f t="shared" si="14"/>
        <v>2628.82</v>
      </c>
      <c r="J40" s="271">
        <f t="shared" si="15"/>
        <v>26288.29</v>
      </c>
      <c r="K40" s="269">
        <v>24369.25</v>
      </c>
      <c r="L40" s="269">
        <v>2707.68</v>
      </c>
      <c r="M40" s="269">
        <v>27076.93</v>
      </c>
      <c r="N40" s="270">
        <v>25100.33</v>
      </c>
      <c r="O40" s="269">
        <v>2788.91</v>
      </c>
      <c r="P40" s="271">
        <v>27889.24</v>
      </c>
      <c r="Q40" s="366">
        <f t="shared" si="18"/>
        <v>2589.9200000000019</v>
      </c>
      <c r="R40" s="364">
        <f t="shared" si="3"/>
        <v>4.0000079122687549E-2</v>
      </c>
      <c r="S40" s="270">
        <f t="shared" si="17"/>
        <v>0</v>
      </c>
      <c r="T40" s="270">
        <f t="shared" si="12"/>
        <v>1011.0900000000001</v>
      </c>
      <c r="U40" s="270">
        <v>23659.47</v>
      </c>
      <c r="V40" s="269">
        <v>2628.82</v>
      </c>
      <c r="W40" s="271">
        <v>26288.29</v>
      </c>
      <c r="X40" s="321"/>
      <c r="Y40" s="322"/>
    </row>
    <row r="41" spans="1:25">
      <c r="A41" s="762"/>
      <c r="B41" s="262" t="s">
        <v>33</v>
      </c>
      <c r="C41" s="264">
        <v>3</v>
      </c>
      <c r="D41" s="266" t="s">
        <v>71</v>
      </c>
      <c r="E41" s="269">
        <v>20508.2</v>
      </c>
      <c r="F41" s="269">
        <v>2278.69</v>
      </c>
      <c r="G41" s="269">
        <v>22786.89</v>
      </c>
      <c r="H41" s="270">
        <f t="shared" si="13"/>
        <v>21328.53</v>
      </c>
      <c r="I41" s="269">
        <f t="shared" si="14"/>
        <v>2369.84</v>
      </c>
      <c r="J41" s="271">
        <f t="shared" si="15"/>
        <v>23698.37</v>
      </c>
      <c r="K41" s="269">
        <v>21968.39</v>
      </c>
      <c r="L41" s="269">
        <v>2440.94</v>
      </c>
      <c r="M41" s="269">
        <v>24409.33</v>
      </c>
      <c r="N41" s="270">
        <v>22627.439999999999</v>
      </c>
      <c r="O41" s="269">
        <v>2514.17</v>
      </c>
      <c r="P41" s="271">
        <v>25141.61</v>
      </c>
      <c r="Q41" s="366">
        <f t="shared" si="18"/>
        <v>3614.2700000000004</v>
      </c>
      <c r="R41" s="364">
        <f t="shared" si="3"/>
        <v>4.0000193093484793E-2</v>
      </c>
      <c r="S41" s="270">
        <f t="shared" si="17"/>
        <v>0</v>
      </c>
      <c r="T41" s="270">
        <f t="shared" si="12"/>
        <v>911.47999999999956</v>
      </c>
      <c r="U41" s="270">
        <v>21328.53</v>
      </c>
      <c r="V41" s="269">
        <v>2369.84</v>
      </c>
      <c r="W41" s="271">
        <v>23698.37</v>
      </c>
      <c r="X41" s="321"/>
      <c r="Y41" s="322"/>
    </row>
    <row r="42" spans="1:25">
      <c r="A42" s="762"/>
      <c r="B42" s="262" t="s">
        <v>37</v>
      </c>
      <c r="C42" s="264">
        <v>1</v>
      </c>
      <c r="D42" s="266" t="s">
        <v>72</v>
      </c>
      <c r="E42" s="269">
        <v>17380.46</v>
      </c>
      <c r="F42" s="269">
        <v>1931.17</v>
      </c>
      <c r="G42" s="269">
        <v>19311.63</v>
      </c>
      <c r="H42" s="270">
        <f t="shared" si="13"/>
        <v>18075.68</v>
      </c>
      <c r="I42" s="269">
        <f t="shared" si="14"/>
        <v>2008.42</v>
      </c>
      <c r="J42" s="271">
        <f t="shared" si="15"/>
        <v>20084.099999999999</v>
      </c>
      <c r="K42" s="269">
        <v>18617.95</v>
      </c>
      <c r="L42" s="269">
        <v>2068.67</v>
      </c>
      <c r="M42" s="269">
        <v>20686.62</v>
      </c>
      <c r="N42" s="270">
        <v>19176.490000000002</v>
      </c>
      <c r="O42" s="269">
        <v>2130.73</v>
      </c>
      <c r="P42" s="271">
        <v>21307.22</v>
      </c>
      <c r="Q42" s="366">
        <f t="shared" si="18"/>
        <v>1172.0199999999968</v>
      </c>
      <c r="R42" s="364">
        <f t="shared" si="3"/>
        <v>4.0000248554886264E-2</v>
      </c>
      <c r="S42" s="270">
        <f t="shared" si="17"/>
        <v>0</v>
      </c>
      <c r="T42" s="270">
        <f t="shared" si="12"/>
        <v>772.46999999999753</v>
      </c>
      <c r="U42" s="270">
        <v>18075.68</v>
      </c>
      <c r="V42" s="269">
        <v>2008.42</v>
      </c>
      <c r="W42" s="271">
        <v>20084.099999999999</v>
      </c>
      <c r="X42" s="321"/>
      <c r="Y42" s="322"/>
    </row>
    <row r="43" spans="1:25">
      <c r="A43" s="762"/>
      <c r="B43" s="262" t="s">
        <v>37</v>
      </c>
      <c r="C43" s="264">
        <v>2</v>
      </c>
      <c r="D43" s="266" t="s">
        <v>73</v>
      </c>
      <c r="E43" s="269">
        <v>16366.22</v>
      </c>
      <c r="F43" s="269">
        <v>1818.47</v>
      </c>
      <c r="G43" s="269">
        <v>18184.689999999999</v>
      </c>
      <c r="H43" s="270">
        <f t="shared" si="13"/>
        <v>17020.87</v>
      </c>
      <c r="I43" s="269">
        <f t="shared" si="14"/>
        <v>1891.21</v>
      </c>
      <c r="J43" s="271">
        <f t="shared" si="15"/>
        <v>18912.080000000002</v>
      </c>
      <c r="K43" s="269">
        <v>17531.5</v>
      </c>
      <c r="L43" s="269">
        <v>1947.95</v>
      </c>
      <c r="M43" s="269">
        <v>19479.45</v>
      </c>
      <c r="N43" s="270">
        <v>18057.45</v>
      </c>
      <c r="O43" s="269">
        <v>2006.39</v>
      </c>
      <c r="P43" s="271">
        <v>20063.84</v>
      </c>
      <c r="Q43" s="366">
        <f t="shared" si="18"/>
        <v>533.19000000000233</v>
      </c>
      <c r="R43" s="364">
        <f t="shared" si="3"/>
        <v>4.0000131979154085E-2</v>
      </c>
      <c r="S43" s="270">
        <f t="shared" si="17"/>
        <v>0</v>
      </c>
      <c r="T43" s="270">
        <f t="shared" si="12"/>
        <v>727.39000000000306</v>
      </c>
      <c r="U43" s="270">
        <v>17020.87</v>
      </c>
      <c r="V43" s="269">
        <v>1891.21</v>
      </c>
      <c r="W43" s="271">
        <v>18912.080000000002</v>
      </c>
      <c r="X43" s="321"/>
      <c r="Y43" s="322"/>
    </row>
    <row r="44" spans="1:25">
      <c r="A44" s="762"/>
      <c r="B44" s="262" t="s">
        <v>37</v>
      </c>
      <c r="C44" s="264">
        <v>3</v>
      </c>
      <c r="D44" s="266" t="s">
        <v>74</v>
      </c>
      <c r="E44" s="269">
        <v>15904.81</v>
      </c>
      <c r="F44" s="269">
        <v>1767.2</v>
      </c>
      <c r="G44" s="269">
        <v>17672.009999999998</v>
      </c>
      <c r="H44" s="270">
        <f t="shared" si="13"/>
        <v>16541</v>
      </c>
      <c r="I44" s="269">
        <f t="shared" si="14"/>
        <v>1837.89</v>
      </c>
      <c r="J44" s="271">
        <f t="shared" si="15"/>
        <v>18378.89</v>
      </c>
      <c r="K44" s="269">
        <v>17037.23</v>
      </c>
      <c r="L44" s="269">
        <v>1893.03</v>
      </c>
      <c r="M44" s="269">
        <v>18930.259999999998</v>
      </c>
      <c r="N44" s="270">
        <v>17548.349999999999</v>
      </c>
      <c r="O44" s="269">
        <v>1949.82</v>
      </c>
      <c r="P44" s="271">
        <v>19498.169999999998</v>
      </c>
      <c r="Q44" s="366">
        <f t="shared" si="18"/>
        <v>507.63999999999942</v>
      </c>
      <c r="R44" s="364">
        <f t="shared" si="3"/>
        <v>3.9999977365336559E-2</v>
      </c>
      <c r="S44" s="270">
        <f t="shared" si="17"/>
        <v>0</v>
      </c>
      <c r="T44" s="270">
        <f t="shared" si="12"/>
        <v>706.88000000000102</v>
      </c>
      <c r="U44" s="270">
        <v>16541</v>
      </c>
      <c r="V44" s="269">
        <v>1837.89</v>
      </c>
      <c r="W44" s="271">
        <v>18378.89</v>
      </c>
      <c r="X44" s="321"/>
      <c r="Y44" s="322"/>
    </row>
    <row r="45" spans="1:25">
      <c r="A45" s="762"/>
      <c r="B45" s="262" t="s">
        <v>41</v>
      </c>
      <c r="C45" s="264">
        <v>1</v>
      </c>
      <c r="D45" s="266" t="s">
        <v>75</v>
      </c>
      <c r="E45" s="269">
        <v>15492.11</v>
      </c>
      <c r="F45" s="269">
        <v>1691.79</v>
      </c>
      <c r="G45" s="269">
        <v>17183.900000000001</v>
      </c>
      <c r="H45" s="270">
        <f t="shared" si="13"/>
        <v>16111.79</v>
      </c>
      <c r="I45" s="269">
        <f t="shared" si="14"/>
        <v>1759.46</v>
      </c>
      <c r="J45" s="271">
        <f t="shared" si="15"/>
        <v>17871.25</v>
      </c>
      <c r="K45" s="269">
        <v>16595.14</v>
      </c>
      <c r="L45" s="269">
        <v>1812.24</v>
      </c>
      <c r="M45" s="269">
        <v>18407.38</v>
      </c>
      <c r="N45" s="270">
        <v>17092.990000000002</v>
      </c>
      <c r="O45" s="269">
        <v>1866.61</v>
      </c>
      <c r="P45" s="271">
        <v>18959.599999999999</v>
      </c>
      <c r="Q45" s="366">
        <f>J45-J46</f>
        <v>191.25</v>
      </c>
      <c r="R45" s="364">
        <f t="shared" si="3"/>
        <v>3.9999650835956801E-2</v>
      </c>
      <c r="S45" s="270">
        <f t="shared" si="17"/>
        <v>0</v>
      </c>
      <c r="T45" s="270">
        <f t="shared" si="12"/>
        <v>687.34999999999854</v>
      </c>
      <c r="U45" s="270">
        <v>16111.79</v>
      </c>
      <c r="V45" s="269">
        <v>1759.46</v>
      </c>
      <c r="W45" s="271">
        <v>17871.25</v>
      </c>
      <c r="X45" s="321"/>
      <c r="Y45" s="322"/>
    </row>
    <row r="46" spans="1:25" ht="15" thickBot="1">
      <c r="A46" s="770"/>
      <c r="B46" s="303" t="s">
        <v>41</v>
      </c>
      <c r="C46" s="304">
        <v>2</v>
      </c>
      <c r="D46" s="326" t="s">
        <v>76</v>
      </c>
      <c r="E46" s="315">
        <v>15300</v>
      </c>
      <c r="F46" s="315">
        <v>1700</v>
      </c>
      <c r="G46" s="315">
        <v>17000</v>
      </c>
      <c r="H46" s="314">
        <f t="shared" si="13"/>
        <v>15912</v>
      </c>
      <c r="I46" s="315">
        <f t="shared" si="14"/>
        <v>1768</v>
      </c>
      <c r="J46" s="316">
        <f t="shared" si="15"/>
        <v>17680</v>
      </c>
      <c r="K46" s="315">
        <v>16389.36</v>
      </c>
      <c r="L46" s="315">
        <v>1821.04</v>
      </c>
      <c r="M46" s="315">
        <v>18210.400000000001</v>
      </c>
      <c r="N46" s="314">
        <v>16881.04</v>
      </c>
      <c r="O46" s="315">
        <v>1875.67</v>
      </c>
      <c r="P46" s="316">
        <v>18756.71</v>
      </c>
      <c r="Q46" s="367"/>
      <c r="R46" s="365">
        <f t="shared" si="3"/>
        <v>4.0000000000000036E-2</v>
      </c>
      <c r="S46" s="314">
        <f t="shared" si="17"/>
        <v>0</v>
      </c>
      <c r="T46" s="314">
        <f t="shared" si="12"/>
        <v>680</v>
      </c>
      <c r="U46" s="314">
        <v>15912</v>
      </c>
      <c r="V46" s="315">
        <v>1768</v>
      </c>
      <c r="W46" s="316">
        <v>17680</v>
      </c>
      <c r="X46" s="323"/>
      <c r="Y46" s="324"/>
    </row>
    <row r="47" spans="1:25">
      <c r="A47" s="762" t="s">
        <v>478</v>
      </c>
      <c r="B47" s="262" t="s">
        <v>28</v>
      </c>
      <c r="C47" s="264">
        <v>1</v>
      </c>
      <c r="D47" s="266" t="s">
        <v>77</v>
      </c>
      <c r="E47" s="272"/>
      <c r="F47" s="272"/>
      <c r="G47" s="272"/>
      <c r="H47" s="270">
        <f t="shared" si="13"/>
        <v>31171.83</v>
      </c>
      <c r="I47" s="269">
        <f t="shared" si="14"/>
        <v>3463.54</v>
      </c>
      <c r="J47" s="271">
        <f t="shared" si="15"/>
        <v>34635.370000000003</v>
      </c>
      <c r="K47" s="269">
        <v>32106.98</v>
      </c>
      <c r="L47" s="269">
        <v>3567.45</v>
      </c>
      <c r="M47" s="269">
        <v>35674.43</v>
      </c>
      <c r="N47" s="270">
        <v>33070.19</v>
      </c>
      <c r="O47" s="269">
        <v>3674.47</v>
      </c>
      <c r="P47" s="271">
        <v>36744.660000000003</v>
      </c>
      <c r="Q47" s="366">
        <f t="shared" ref="Q47:Q55" si="19">J47-J48</f>
        <v>187.81999999999971</v>
      </c>
      <c r="R47" s="363"/>
      <c r="S47" s="311">
        <f t="shared" si="17"/>
        <v>0</v>
      </c>
      <c r="T47" s="311"/>
      <c r="U47" s="311">
        <v>31171.83</v>
      </c>
      <c r="V47" s="312">
        <v>3463.54</v>
      </c>
      <c r="W47" s="313">
        <v>34635.370000000003</v>
      </c>
      <c r="X47" s="319"/>
      <c r="Y47" s="320"/>
    </row>
    <row r="48" spans="1:25">
      <c r="A48" s="762"/>
      <c r="B48" s="262" t="s">
        <v>30</v>
      </c>
      <c r="C48" s="264">
        <v>1</v>
      </c>
      <c r="D48" s="266" t="s">
        <v>78</v>
      </c>
      <c r="E48" s="272"/>
      <c r="F48" s="272"/>
      <c r="G48" s="272"/>
      <c r="H48" s="270">
        <f t="shared" si="13"/>
        <v>31002.799999999999</v>
      </c>
      <c r="I48" s="269">
        <f t="shared" si="14"/>
        <v>3444.76</v>
      </c>
      <c r="J48" s="271">
        <f t="shared" si="15"/>
        <v>34447.550000000003</v>
      </c>
      <c r="K48" s="269">
        <v>31932.880000000001</v>
      </c>
      <c r="L48" s="269">
        <v>3548.1</v>
      </c>
      <c r="M48" s="269">
        <v>35480.980000000003</v>
      </c>
      <c r="N48" s="270">
        <v>32890.870000000003</v>
      </c>
      <c r="O48" s="269">
        <v>3654.54</v>
      </c>
      <c r="P48" s="271">
        <v>36545.410000000003</v>
      </c>
      <c r="Q48" s="366">
        <f t="shared" si="19"/>
        <v>1008.4100000000035</v>
      </c>
      <c r="R48" s="364"/>
      <c r="S48" s="270">
        <f t="shared" si="17"/>
        <v>0</v>
      </c>
      <c r="T48" s="270"/>
      <c r="U48" s="270">
        <v>31002.799999999999</v>
      </c>
      <c r="V48" s="269">
        <v>3444.76</v>
      </c>
      <c r="W48" s="271">
        <v>34447.550000000003</v>
      </c>
      <c r="X48" s="321"/>
      <c r="Y48" s="322"/>
    </row>
    <row r="49" spans="1:25">
      <c r="A49" s="762"/>
      <c r="B49" s="262" t="s">
        <v>30</v>
      </c>
      <c r="C49" s="264">
        <v>2</v>
      </c>
      <c r="D49" s="266" t="s">
        <v>79</v>
      </c>
      <c r="E49" s="272"/>
      <c r="F49" s="272"/>
      <c r="G49" s="272"/>
      <c r="H49" s="270">
        <f t="shared" si="13"/>
        <v>30095.23</v>
      </c>
      <c r="I49" s="269">
        <f t="shared" si="14"/>
        <v>3343.91</v>
      </c>
      <c r="J49" s="271">
        <f t="shared" si="15"/>
        <v>33439.14</v>
      </c>
      <c r="K49" s="269">
        <v>30998.09</v>
      </c>
      <c r="L49" s="269">
        <v>3444.23</v>
      </c>
      <c r="M49" s="269">
        <v>34442.32</v>
      </c>
      <c r="N49" s="270">
        <v>31928.03</v>
      </c>
      <c r="O49" s="269">
        <v>3547.56</v>
      </c>
      <c r="P49" s="271">
        <v>35475.589999999997</v>
      </c>
      <c r="Q49" s="366">
        <f t="shared" si="19"/>
        <v>1092.9099999999999</v>
      </c>
      <c r="R49" s="364"/>
      <c r="S49" s="270">
        <f t="shared" si="17"/>
        <v>0</v>
      </c>
      <c r="T49" s="270"/>
      <c r="U49" s="270">
        <v>30095.23</v>
      </c>
      <c r="V49" s="269">
        <v>3343.91</v>
      </c>
      <c r="W49" s="271">
        <v>33439.14</v>
      </c>
      <c r="X49" s="321"/>
      <c r="Y49" s="322"/>
    </row>
    <row r="50" spans="1:25">
      <c r="A50" s="762"/>
      <c r="B50" s="262" t="s">
        <v>33</v>
      </c>
      <c r="C50" s="264">
        <v>1</v>
      </c>
      <c r="D50" s="266" t="s">
        <v>80</v>
      </c>
      <c r="E50" s="272"/>
      <c r="F50" s="272"/>
      <c r="G50" s="272"/>
      <c r="H50" s="270">
        <f t="shared" si="13"/>
        <v>29111.61</v>
      </c>
      <c r="I50" s="269">
        <f t="shared" si="14"/>
        <v>3234.62</v>
      </c>
      <c r="J50" s="271">
        <f t="shared" si="15"/>
        <v>32346.23</v>
      </c>
      <c r="K50" s="269">
        <v>29984.959999999999</v>
      </c>
      <c r="L50" s="269">
        <v>3331.66</v>
      </c>
      <c r="M50" s="269">
        <v>33316.620000000003</v>
      </c>
      <c r="N50" s="270">
        <v>30884.51</v>
      </c>
      <c r="O50" s="269">
        <v>3431.61</v>
      </c>
      <c r="P50" s="271">
        <v>34316.120000000003</v>
      </c>
      <c r="Q50" s="366">
        <f t="shared" si="19"/>
        <v>2114.7000000000007</v>
      </c>
      <c r="R50" s="364"/>
      <c r="S50" s="270">
        <f t="shared" si="17"/>
        <v>0</v>
      </c>
      <c r="T50" s="270"/>
      <c r="U50" s="270">
        <v>29111.61</v>
      </c>
      <c r="V50" s="269">
        <v>3234.62</v>
      </c>
      <c r="W50" s="271">
        <v>32346.23</v>
      </c>
      <c r="X50" s="321"/>
      <c r="Y50" s="322"/>
    </row>
    <row r="51" spans="1:25">
      <c r="A51" s="762"/>
      <c r="B51" s="262" t="s">
        <v>33</v>
      </c>
      <c r="C51" s="264">
        <v>2</v>
      </c>
      <c r="D51" s="266" t="s">
        <v>81</v>
      </c>
      <c r="E51" s="272"/>
      <c r="F51" s="272"/>
      <c r="G51" s="272"/>
      <c r="H51" s="270">
        <f t="shared" si="13"/>
        <v>27208.38</v>
      </c>
      <c r="I51" s="269">
        <f t="shared" si="14"/>
        <v>3023.15</v>
      </c>
      <c r="J51" s="271">
        <f t="shared" si="15"/>
        <v>30231.53</v>
      </c>
      <c r="K51" s="269">
        <v>28024.63</v>
      </c>
      <c r="L51" s="269">
        <v>3113.84</v>
      </c>
      <c r="M51" s="269">
        <v>31138.47</v>
      </c>
      <c r="N51" s="270">
        <v>28865.37</v>
      </c>
      <c r="O51" s="269">
        <v>3207.26</v>
      </c>
      <c r="P51" s="271">
        <v>32072.63</v>
      </c>
      <c r="Q51" s="366">
        <f t="shared" si="19"/>
        <v>2978.3999999999978</v>
      </c>
      <c r="R51" s="364"/>
      <c r="S51" s="270">
        <f t="shared" si="17"/>
        <v>0</v>
      </c>
      <c r="T51" s="270"/>
      <c r="U51" s="270">
        <v>27208.38</v>
      </c>
      <c r="V51" s="269">
        <v>3023.15</v>
      </c>
      <c r="W51" s="271">
        <v>30231.53</v>
      </c>
      <c r="X51" s="321"/>
      <c r="Y51" s="322"/>
    </row>
    <row r="52" spans="1:25">
      <c r="A52" s="762"/>
      <c r="B52" s="262" t="s">
        <v>33</v>
      </c>
      <c r="C52" s="264">
        <v>3</v>
      </c>
      <c r="D52" s="266" t="s">
        <v>82</v>
      </c>
      <c r="E52" s="272"/>
      <c r="F52" s="272"/>
      <c r="G52" s="272"/>
      <c r="H52" s="270">
        <f t="shared" si="13"/>
        <v>24527.82</v>
      </c>
      <c r="I52" s="269">
        <f t="shared" si="14"/>
        <v>2725.31</v>
      </c>
      <c r="J52" s="271">
        <f t="shared" si="15"/>
        <v>27253.13</v>
      </c>
      <c r="K52" s="269">
        <v>25263.65</v>
      </c>
      <c r="L52" s="269">
        <v>2807.07</v>
      </c>
      <c r="M52" s="269">
        <v>28070.720000000001</v>
      </c>
      <c r="N52" s="270">
        <v>26021.56</v>
      </c>
      <c r="O52" s="269">
        <v>2891.28</v>
      </c>
      <c r="P52" s="271">
        <v>28912.84</v>
      </c>
      <c r="Q52" s="366">
        <f t="shared" si="19"/>
        <v>4558.1000000000022</v>
      </c>
      <c r="R52" s="364"/>
      <c r="S52" s="270">
        <f t="shared" si="17"/>
        <v>0</v>
      </c>
      <c r="T52" s="270"/>
      <c r="U52" s="270">
        <v>24527.82</v>
      </c>
      <c r="V52" s="269">
        <v>2725.31</v>
      </c>
      <c r="W52" s="271">
        <v>27253.13</v>
      </c>
      <c r="X52" s="321"/>
      <c r="Y52" s="322"/>
    </row>
    <row r="53" spans="1:25">
      <c r="A53" s="762"/>
      <c r="B53" s="262" t="s">
        <v>37</v>
      </c>
      <c r="C53" s="264">
        <v>1</v>
      </c>
      <c r="D53" s="266" t="s">
        <v>83</v>
      </c>
      <c r="E53" s="272"/>
      <c r="F53" s="272"/>
      <c r="G53" s="272"/>
      <c r="H53" s="270">
        <f t="shared" si="13"/>
        <v>20425.53</v>
      </c>
      <c r="I53" s="269">
        <f t="shared" si="14"/>
        <v>2269.5</v>
      </c>
      <c r="J53" s="271">
        <f t="shared" si="15"/>
        <v>22695.03</v>
      </c>
      <c r="K53" s="269">
        <v>21038.3</v>
      </c>
      <c r="L53" s="269">
        <v>2337.59</v>
      </c>
      <c r="M53" s="269">
        <v>23375.89</v>
      </c>
      <c r="N53" s="270">
        <v>21669.45</v>
      </c>
      <c r="O53" s="269">
        <v>2407.7199999999998</v>
      </c>
      <c r="P53" s="271">
        <v>24077.17</v>
      </c>
      <c r="Q53" s="366">
        <f t="shared" si="19"/>
        <v>1324.3799999999974</v>
      </c>
      <c r="R53" s="364"/>
      <c r="S53" s="270">
        <f t="shared" si="17"/>
        <v>0</v>
      </c>
      <c r="T53" s="270"/>
      <c r="U53" s="270">
        <v>20425.53</v>
      </c>
      <c r="V53" s="269">
        <v>2269.5</v>
      </c>
      <c r="W53" s="271">
        <v>22695.03</v>
      </c>
      <c r="X53" s="321"/>
      <c r="Y53" s="322"/>
    </row>
    <row r="54" spans="1:25">
      <c r="A54" s="762"/>
      <c r="B54" s="262" t="s">
        <v>37</v>
      </c>
      <c r="C54" s="264">
        <v>2</v>
      </c>
      <c r="D54" s="266" t="s">
        <v>84</v>
      </c>
      <c r="E54" s="272"/>
      <c r="F54" s="272"/>
      <c r="G54" s="272"/>
      <c r="H54" s="270">
        <f t="shared" si="13"/>
        <v>19233.59</v>
      </c>
      <c r="I54" s="269">
        <f t="shared" si="14"/>
        <v>2137.0700000000002</v>
      </c>
      <c r="J54" s="271">
        <f t="shared" si="15"/>
        <v>21370.65</v>
      </c>
      <c r="K54" s="269">
        <v>19810.599999999999</v>
      </c>
      <c r="L54" s="269">
        <v>2201.1799999999998</v>
      </c>
      <c r="M54" s="269">
        <v>22011.78</v>
      </c>
      <c r="N54" s="270">
        <v>20404.919999999998</v>
      </c>
      <c r="O54" s="269">
        <v>2267.2199999999998</v>
      </c>
      <c r="P54" s="271">
        <v>22672.14</v>
      </c>
      <c r="Q54" s="366">
        <f t="shared" si="19"/>
        <v>602.5</v>
      </c>
      <c r="R54" s="364"/>
      <c r="S54" s="270">
        <f t="shared" si="17"/>
        <v>0</v>
      </c>
      <c r="T54" s="270"/>
      <c r="U54" s="270">
        <v>19233.59</v>
      </c>
      <c r="V54" s="269">
        <v>2137.0700000000002</v>
      </c>
      <c r="W54" s="271">
        <v>21370.65</v>
      </c>
      <c r="X54" s="321"/>
      <c r="Y54" s="322"/>
    </row>
    <row r="55" spans="1:25">
      <c r="A55" s="762"/>
      <c r="B55" s="262" t="s">
        <v>37</v>
      </c>
      <c r="C55" s="264">
        <v>3</v>
      </c>
      <c r="D55" s="266" t="s">
        <v>85</v>
      </c>
      <c r="E55" s="272"/>
      <c r="F55" s="272"/>
      <c r="G55" s="272"/>
      <c r="H55" s="270">
        <f t="shared" si="13"/>
        <v>18691.34</v>
      </c>
      <c r="I55" s="269">
        <f t="shared" si="14"/>
        <v>2076.8200000000002</v>
      </c>
      <c r="J55" s="271">
        <f t="shared" si="15"/>
        <v>20768.150000000001</v>
      </c>
      <c r="K55" s="269">
        <v>19252.080000000002</v>
      </c>
      <c r="L55" s="269">
        <v>2139.12</v>
      </c>
      <c r="M55" s="269">
        <v>21391.200000000001</v>
      </c>
      <c r="N55" s="270">
        <v>19829.64</v>
      </c>
      <c r="O55" s="269">
        <v>2203.29</v>
      </c>
      <c r="P55" s="271">
        <v>22032.93</v>
      </c>
      <c r="Q55" s="366">
        <f t="shared" si="19"/>
        <v>1109.7700000000004</v>
      </c>
      <c r="R55" s="364"/>
      <c r="S55" s="270">
        <f t="shared" si="17"/>
        <v>0</v>
      </c>
      <c r="T55" s="270"/>
      <c r="U55" s="270">
        <v>18691.34</v>
      </c>
      <c r="V55" s="269">
        <v>2076.8200000000002</v>
      </c>
      <c r="W55" s="271">
        <v>20768.150000000001</v>
      </c>
      <c r="X55" s="321"/>
      <c r="Y55" s="322"/>
    </row>
    <row r="56" spans="1:25">
      <c r="A56" s="762"/>
      <c r="B56" s="262" t="s">
        <v>41</v>
      </c>
      <c r="C56" s="264">
        <v>1</v>
      </c>
      <c r="D56" s="266" t="s">
        <v>86</v>
      </c>
      <c r="E56" s="272"/>
      <c r="F56" s="272"/>
      <c r="G56" s="272"/>
      <c r="H56" s="270">
        <f t="shared" si="13"/>
        <v>17692.54</v>
      </c>
      <c r="I56" s="269">
        <f t="shared" si="14"/>
        <v>1965.84</v>
      </c>
      <c r="J56" s="271">
        <f t="shared" si="15"/>
        <v>19658.38</v>
      </c>
      <c r="K56" s="269">
        <v>18223.32</v>
      </c>
      <c r="L56" s="269">
        <v>2024.82</v>
      </c>
      <c r="M56" s="269">
        <v>20248.14</v>
      </c>
      <c r="N56" s="270">
        <v>18770.02</v>
      </c>
      <c r="O56" s="269">
        <v>2085.56</v>
      </c>
      <c r="P56" s="271">
        <v>20855.580000000002</v>
      </c>
      <c r="Q56" s="366">
        <f>J56-J57</f>
        <v>210.38000000000102</v>
      </c>
      <c r="R56" s="364"/>
      <c r="S56" s="270">
        <f t="shared" si="17"/>
        <v>0</v>
      </c>
      <c r="T56" s="270"/>
      <c r="U56" s="270">
        <v>17692.54</v>
      </c>
      <c r="V56" s="269">
        <v>1965.84</v>
      </c>
      <c r="W56" s="271">
        <v>19658.38</v>
      </c>
      <c r="X56" s="321"/>
      <c r="Y56" s="322"/>
    </row>
    <row r="57" spans="1:25" ht="15" thickBot="1">
      <c r="A57" s="762"/>
      <c r="B57" s="262" t="s">
        <v>41</v>
      </c>
      <c r="C57" s="264">
        <v>2</v>
      </c>
      <c r="D57" s="266" t="s">
        <v>87</v>
      </c>
      <c r="E57" s="272"/>
      <c r="F57" s="272"/>
      <c r="G57" s="272"/>
      <c r="H57" s="270">
        <f t="shared" si="13"/>
        <v>17503.2</v>
      </c>
      <c r="I57" s="269">
        <f t="shared" si="14"/>
        <v>1944.8</v>
      </c>
      <c r="J57" s="271">
        <f t="shared" si="15"/>
        <v>19448</v>
      </c>
      <c r="K57" s="269">
        <v>18028.3</v>
      </c>
      <c r="L57" s="269">
        <v>2003.14</v>
      </c>
      <c r="M57" s="269">
        <v>20031.439999999999</v>
      </c>
      <c r="N57" s="270">
        <v>18569.150000000001</v>
      </c>
      <c r="O57" s="269">
        <v>2063.23</v>
      </c>
      <c r="P57" s="271">
        <v>20632.38</v>
      </c>
      <c r="Q57" s="367"/>
      <c r="R57" s="365"/>
      <c r="S57" s="314">
        <f t="shared" si="17"/>
        <v>0</v>
      </c>
      <c r="T57" s="314"/>
      <c r="U57" s="314">
        <v>17503.2</v>
      </c>
      <c r="V57" s="315">
        <v>1944.8</v>
      </c>
      <c r="W57" s="316">
        <v>19448</v>
      </c>
      <c r="X57" s="323"/>
      <c r="Y57" s="324"/>
    </row>
    <row r="58" spans="1:25">
      <c r="A58" s="305"/>
      <c r="B58" s="306"/>
      <c r="C58" s="307"/>
      <c r="D58" s="327" t="s">
        <v>88</v>
      </c>
      <c r="E58" s="312">
        <v>14288.4</v>
      </c>
      <c r="F58" s="312">
        <v>1587.6</v>
      </c>
      <c r="G58" s="312">
        <v>15876</v>
      </c>
      <c r="H58" s="311">
        <f>J58*X58</f>
        <v>14918.404015737347</v>
      </c>
      <c r="I58" s="312">
        <f>J58*Y58</f>
        <v>1657.5959842626507</v>
      </c>
      <c r="J58" s="313">
        <f>D2</f>
        <v>16576</v>
      </c>
      <c r="K58" s="312">
        <v>15365.95</v>
      </c>
      <c r="L58" s="312">
        <v>1707.33</v>
      </c>
      <c r="M58" s="312">
        <v>17073.28</v>
      </c>
      <c r="N58" s="311">
        <v>15826.93</v>
      </c>
      <c r="O58" s="312">
        <v>1758.55</v>
      </c>
      <c r="P58" s="313">
        <v>17585.48</v>
      </c>
      <c r="Q58" s="368"/>
      <c r="R58" s="363">
        <f>((J58*100/G58)/100)-1</f>
        <v>4.4091710758377367E-2</v>
      </c>
      <c r="S58" s="311">
        <f t="shared" si="17"/>
        <v>64.959999999999127</v>
      </c>
      <c r="T58" s="311">
        <f t="shared" si="12"/>
        <v>700</v>
      </c>
      <c r="U58" s="311">
        <v>14859.94</v>
      </c>
      <c r="V58" s="312">
        <v>1651.1</v>
      </c>
      <c r="W58" s="313">
        <v>16511.04</v>
      </c>
      <c r="X58" s="319">
        <f>((U58*100)/W58)/100</f>
        <v>0.90000024226214692</v>
      </c>
      <c r="Y58" s="320">
        <f>((V58*100)/W58)/100</f>
        <v>9.9999757737852968E-2</v>
      </c>
    </row>
    <row r="59" spans="1:25">
      <c r="A59" s="261"/>
      <c r="B59" s="263"/>
      <c r="C59" s="265"/>
      <c r="D59" s="267" t="s">
        <v>89</v>
      </c>
      <c r="E59" s="269">
        <v>17942.37</v>
      </c>
      <c r="F59" s="269">
        <v>1993.59</v>
      </c>
      <c r="G59" s="269">
        <v>19935.96</v>
      </c>
      <c r="H59" s="270">
        <f t="shared" ref="H59:J60" si="20">U59</f>
        <v>18660.060000000001</v>
      </c>
      <c r="I59" s="269">
        <f t="shared" si="20"/>
        <v>2073.33</v>
      </c>
      <c r="J59" s="271">
        <f t="shared" si="20"/>
        <v>20733.39</v>
      </c>
      <c r="K59" s="269">
        <v>19219.86</v>
      </c>
      <c r="L59" s="269">
        <v>2135.5300000000002</v>
      </c>
      <c r="M59" s="269">
        <v>21355.39</v>
      </c>
      <c r="N59" s="270">
        <v>19796.46</v>
      </c>
      <c r="O59" s="269">
        <v>2199.6</v>
      </c>
      <c r="P59" s="271">
        <v>21996.06</v>
      </c>
      <c r="Q59" s="368"/>
      <c r="R59" s="364">
        <f>((J59*100/G59)/100)-1</f>
        <v>3.9999578650840029E-2</v>
      </c>
      <c r="S59" s="270">
        <f t="shared" si="17"/>
        <v>0</v>
      </c>
      <c r="T59" s="270">
        <f t="shared" si="12"/>
        <v>797.43000000000029</v>
      </c>
      <c r="U59" s="270">
        <v>18660.060000000001</v>
      </c>
      <c r="V59" s="269">
        <v>2073.33</v>
      </c>
      <c r="W59" s="271">
        <v>20733.39</v>
      </c>
      <c r="X59" s="321"/>
      <c r="Y59" s="322"/>
    </row>
    <row r="60" spans="1:25" ht="15" thickBot="1">
      <c r="A60" s="308"/>
      <c r="B60" s="309"/>
      <c r="C60" s="310"/>
      <c r="D60" s="328" t="s">
        <v>90</v>
      </c>
      <c r="E60" s="315">
        <v>25163.22</v>
      </c>
      <c r="F60" s="315">
        <v>2795.92</v>
      </c>
      <c r="G60" s="315">
        <v>27959.14</v>
      </c>
      <c r="H60" s="314">
        <f t="shared" si="20"/>
        <v>26169.75</v>
      </c>
      <c r="I60" s="315">
        <f t="shared" si="20"/>
        <v>2907.76</v>
      </c>
      <c r="J60" s="316">
        <f t="shared" si="20"/>
        <v>29077.51</v>
      </c>
      <c r="K60" s="315">
        <v>26954.84</v>
      </c>
      <c r="L60" s="315">
        <v>2994.99</v>
      </c>
      <c r="M60" s="315">
        <v>29949.83</v>
      </c>
      <c r="N60" s="314">
        <v>27763.49</v>
      </c>
      <c r="O60" s="315">
        <v>3084.84</v>
      </c>
      <c r="P60" s="316">
        <v>30848.33</v>
      </c>
      <c r="Q60" s="369"/>
      <c r="R60" s="365">
        <f>((J60*100/G60)/100)-1</f>
        <v>4.0000157372508616E-2</v>
      </c>
      <c r="S60" s="314">
        <f t="shared" si="17"/>
        <v>0</v>
      </c>
      <c r="T60" s="314">
        <f t="shared" si="12"/>
        <v>1118.369999999999</v>
      </c>
      <c r="U60" s="314">
        <v>26169.75</v>
      </c>
      <c r="V60" s="315">
        <v>2907.76</v>
      </c>
      <c r="W60" s="316">
        <v>29077.51</v>
      </c>
      <c r="X60" s="323"/>
      <c r="Y60" s="324"/>
    </row>
  </sheetData>
  <sheetProtection algorithmName="SHA-512" hashValue="8wF7O9ccnnHMZC4pYKTthOPBrpQnCdEspT/RpFcSQRpf32qDY4KBuh5FQDoNKLHhjmM7TFkPQqRqEKPsB82FwA==" saltValue="QS126IMMt9EQRC1pVc+jAg==" spinCount="100000" sheet="1" objects="1" scenarios="1" selectLockedCells="1"/>
  <mergeCells count="16">
    <mergeCell ref="A14:A24"/>
    <mergeCell ref="A25:A35"/>
    <mergeCell ref="A36:A46"/>
    <mergeCell ref="A47:A57"/>
    <mergeCell ref="A1:C1"/>
    <mergeCell ref="A2:C2"/>
    <mergeCell ref="U1:W1"/>
    <mergeCell ref="K1:M1"/>
    <mergeCell ref="N1:P1"/>
    <mergeCell ref="H1:J1"/>
    <mergeCell ref="A3:A13"/>
    <mergeCell ref="S1:S2"/>
    <mergeCell ref="R1:R2"/>
    <mergeCell ref="T1:T2"/>
    <mergeCell ref="Q1:Q2"/>
    <mergeCell ref="E1:G1"/>
  </mergeCells>
  <conditionalFormatting sqref="D3:D60">
    <cfRule type="expression" dxfId="8" priority="1">
      <formula>$R3&gt;0.041</formula>
    </cfRule>
  </conditionalFormatting>
  <conditionalFormatting sqref="D3:P60">
    <cfRule type="expression" dxfId="7" priority="8">
      <formula>ISEVEN(ROW(D3))</formula>
    </cfRule>
  </conditionalFormatting>
  <conditionalFormatting sqref="G3:G60">
    <cfRule type="expression" dxfId="6" priority="543">
      <formula>AND(NOT(ISBLANK($G3)),$G3&lt;$D$1)</formula>
    </cfRule>
  </conditionalFormatting>
  <conditionalFormatting sqref="J3:J60">
    <cfRule type="expression" dxfId="5" priority="2">
      <formula>$R3&gt;0.041</formula>
    </cfRule>
  </conditionalFormatting>
  <conditionalFormatting sqref="R3:R60">
    <cfRule type="cellIs" dxfId="4" priority="6" operator="greaterThan">
      <formula>0.041</formula>
    </cfRule>
  </conditionalFormatting>
  <conditionalFormatting sqref="R3:Y60">
    <cfRule type="expression" dxfId="3" priority="3">
      <formula>AND(ISODD(ROW(R3)),R3=0)</formula>
    </cfRule>
    <cfRule type="expression" dxfId="2" priority="5">
      <formula>AND(ISEVEN(ROW(R3)),R3=0)</formula>
    </cfRule>
    <cfRule type="expression" dxfId="1" priority="7">
      <formula>ISEVEN(ROW(R3))</formula>
    </cfRule>
  </conditionalFormatting>
  <conditionalFormatting sqref="Y3:Y60">
    <cfRule type="cellIs" dxfId="0" priority="9" operator="greaterThan">
      <formula>"0.04"</formula>
    </cfRule>
  </conditionalFormatting>
  <printOptions horizontalCentered="1"/>
  <pageMargins left="0.23622047244094491" right="0.23622047244094491" top="0.74803149606299213" bottom="0.74803149606299213" header="0.31496062992125984" footer="0.31496062992125984"/>
  <pageSetup paperSize="9" scale="64" fitToHeight="0" orientation="landscape" r:id="rId1"/>
  <rowBreaks count="1" manualBreakCount="1">
    <brk id="46" max="17" man="1"/>
  </rowBreaks>
  <ignoredErrors>
    <ignoredError sqref="H58 I58:J5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6199E-254F-4092-8AF4-DB879B63CF30}">
  <dimension ref="A1:B34"/>
  <sheetViews>
    <sheetView showGridLines="0" showRowColHeaders="0" workbookViewId="0"/>
  </sheetViews>
  <sheetFormatPr baseColWidth="10" defaultRowHeight="14.5"/>
  <cols>
    <col min="1" max="1" width="21" style="1" customWidth="1"/>
    <col min="2" max="2" width="166.6328125" style="1" customWidth="1"/>
    <col min="3" max="16384" width="10.90625" style="1"/>
  </cols>
  <sheetData>
    <row r="1" spans="1:2" ht="39.5" customHeight="1">
      <c r="A1" s="511" t="s">
        <v>545</v>
      </c>
      <c r="B1" s="512" t="str">
        <f>'2024_2025'!N2</f>
        <v>Versión 1.5</v>
      </c>
    </row>
    <row r="3" spans="1:2">
      <c r="A3" s="513" t="s">
        <v>546</v>
      </c>
      <c r="B3" s="538" t="s">
        <v>554</v>
      </c>
    </row>
    <row r="4" spans="1:2" ht="18" customHeight="1">
      <c r="A4" s="514" t="s">
        <v>543</v>
      </c>
      <c r="B4" s="537" t="s">
        <v>547</v>
      </c>
    </row>
    <row r="5" spans="1:2" ht="15.5">
      <c r="A5" s="514"/>
      <c r="B5" s="537" t="s">
        <v>552</v>
      </c>
    </row>
    <row r="6" spans="1:2" ht="15.5">
      <c r="A6" s="539" t="s">
        <v>555</v>
      </c>
      <c r="B6" s="540" t="s">
        <v>558</v>
      </c>
    </row>
    <row r="7" spans="1:2" ht="15.5">
      <c r="A7" s="514"/>
      <c r="B7" s="537" t="s">
        <v>556</v>
      </c>
    </row>
    <row r="8" spans="1:2" ht="15.5">
      <c r="A8" s="514"/>
      <c r="B8" s="537" t="s">
        <v>557</v>
      </c>
    </row>
    <row r="9" spans="1:2" ht="15.5">
      <c r="A9" s="539" t="s">
        <v>559</v>
      </c>
      <c r="B9" s="540" t="s">
        <v>560</v>
      </c>
    </row>
    <row r="10" spans="1:2" ht="15.5">
      <c r="A10" s="514"/>
      <c r="B10" s="537" t="s">
        <v>563</v>
      </c>
    </row>
    <row r="11" spans="1:2" ht="15.5">
      <c r="A11" s="514"/>
      <c r="B11" s="537" t="s">
        <v>568</v>
      </c>
    </row>
    <row r="12" spans="1:2" ht="15.5">
      <c r="A12" s="514"/>
      <c r="B12" s="537" t="s">
        <v>592</v>
      </c>
    </row>
    <row r="13" spans="1:2" ht="15.5">
      <c r="A13" s="514"/>
      <c r="B13" s="537" t="s">
        <v>561</v>
      </c>
    </row>
    <row r="14" spans="1:2" ht="15.5">
      <c r="A14" s="514"/>
      <c r="B14" s="537" t="s">
        <v>562</v>
      </c>
    </row>
    <row r="15" spans="1:2" ht="15.5">
      <c r="A15" s="514"/>
      <c r="B15" s="537" t="s">
        <v>580</v>
      </c>
    </row>
    <row r="16" spans="1:2" ht="15.5">
      <c r="A16" s="514"/>
      <c r="B16" s="537" t="s">
        <v>569</v>
      </c>
    </row>
    <row r="17" spans="1:2" ht="15.5">
      <c r="A17" s="514"/>
      <c r="B17" s="616" t="s">
        <v>602</v>
      </c>
    </row>
    <row r="18" spans="1:2" ht="15.5">
      <c r="A18" s="514"/>
      <c r="B18" s="616" t="s">
        <v>603</v>
      </c>
    </row>
    <row r="19" spans="1:2" ht="15.5">
      <c r="A19" s="514"/>
    </row>
    <row r="20" spans="1:2" ht="15.5">
      <c r="A20" s="514"/>
    </row>
    <row r="21" spans="1:2" ht="15.5">
      <c r="A21" s="514"/>
      <c r="B21" s="537"/>
    </row>
    <row r="22" spans="1:2" ht="15.5">
      <c r="A22" s="514"/>
      <c r="B22" s="537"/>
    </row>
    <row r="23" spans="1:2" ht="15.5">
      <c r="A23" s="514"/>
      <c r="B23" s="537"/>
    </row>
    <row r="24" spans="1:2" ht="15.5">
      <c r="A24" s="514"/>
      <c r="B24" s="537"/>
    </row>
    <row r="25" spans="1:2" ht="15.5">
      <c r="A25" s="514"/>
      <c r="B25" s="537"/>
    </row>
    <row r="26" spans="1:2" ht="15.5">
      <c r="A26" s="514"/>
      <c r="B26" s="537"/>
    </row>
    <row r="27" spans="1:2" ht="15.5">
      <c r="A27" s="514"/>
      <c r="B27" s="537"/>
    </row>
    <row r="28" spans="1:2" ht="15.5">
      <c r="A28" s="514"/>
      <c r="B28" s="537"/>
    </row>
    <row r="29" spans="1:2" ht="15.5">
      <c r="A29" s="514"/>
      <c r="B29" s="537"/>
    </row>
    <row r="30" spans="1:2" ht="15.5">
      <c r="A30" s="514"/>
      <c r="B30" s="537"/>
    </row>
    <row r="31" spans="1:2" ht="15.5">
      <c r="A31" s="514"/>
      <c r="B31" s="537"/>
    </row>
    <row r="32" spans="1:2" ht="15.5">
      <c r="A32" s="514"/>
      <c r="B32" s="537"/>
    </row>
    <row r="33" spans="1:2" ht="15.5">
      <c r="A33" s="514"/>
      <c r="B33" s="537"/>
    </row>
    <row r="34" spans="1:2" ht="15.5">
      <c r="A34" s="514"/>
      <c r="B34" s="537"/>
    </row>
  </sheetData>
  <sheetProtection algorithmName="SHA-512" hashValue="V0ooTxbRbUbMR4R2iosy3wGSoOGVeAfhRAbqLTq8bZVKCqqWNVUjCLB1i7j62XlIXbEHj03Fw8JQ2rIscbmi9A==" saltValue="+DjP4oOc57KTvBFvd8Knaw==" spinCount="100000" sheet="1" objects="1" scenarios="1" selectLockedCell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7"/>
  <dimension ref="A1:N110"/>
  <sheetViews>
    <sheetView workbookViewId="0">
      <selection activeCell="M34" sqref="M34"/>
    </sheetView>
  </sheetViews>
  <sheetFormatPr baseColWidth="10" defaultRowHeight="14.5"/>
  <cols>
    <col min="1" max="1" width="23" style="1" bestFit="1" customWidth="1"/>
    <col min="2" max="2" width="21.26953125" style="1" customWidth="1"/>
    <col min="3" max="3" width="23.7265625" style="1" customWidth="1"/>
    <col min="4" max="4" width="19" style="1" customWidth="1"/>
    <col min="5" max="5" width="3.1796875" style="1" customWidth="1"/>
    <col min="6" max="6" width="42.08984375" style="1" customWidth="1"/>
    <col min="7" max="7" width="3.81640625" style="1" customWidth="1"/>
    <col min="8" max="8" width="17.90625" style="1" customWidth="1"/>
    <col min="9" max="9" width="3.08984375" style="1" customWidth="1"/>
    <col min="10" max="11" width="10.90625" style="1"/>
    <col min="12" max="12" width="11.26953125" style="1" bestFit="1" customWidth="1"/>
    <col min="13" max="13" width="10.90625" style="1"/>
    <col min="14" max="14" width="103.26953125" style="1" customWidth="1"/>
    <col min="15" max="16384" width="10.90625" style="1"/>
  </cols>
  <sheetData>
    <row r="1" spans="1:14">
      <c r="A1" s="345" t="s">
        <v>139</v>
      </c>
      <c r="B1" s="346" t="s">
        <v>94</v>
      </c>
      <c r="C1" s="345" t="s">
        <v>140</v>
      </c>
      <c r="D1" s="345" t="s">
        <v>94</v>
      </c>
      <c r="F1" s="345" t="s">
        <v>527</v>
      </c>
      <c r="H1" s="345" t="s">
        <v>444</v>
      </c>
      <c r="J1" s="775" t="s">
        <v>541</v>
      </c>
      <c r="K1" s="775"/>
      <c r="M1" s="775" t="s">
        <v>570</v>
      </c>
      <c r="N1" s="775"/>
    </row>
    <row r="2" spans="1:14">
      <c r="A2" s="340" t="s">
        <v>95</v>
      </c>
      <c r="B2" s="341" t="s">
        <v>29</v>
      </c>
      <c r="C2" s="340" t="str">
        <f>CONCATENATE("Area ",MID(D2,1,1)," Grupo ",MID(D2,3,1)," Nivel ",MID(D2,5,1))</f>
        <v>Area 1 Grupo A Nivel 1</v>
      </c>
      <c r="D2" s="342" t="s">
        <v>29</v>
      </c>
      <c r="F2" s="47" t="s">
        <v>21</v>
      </c>
      <c r="H2" s="47">
        <f ca="1">YEAR(TODAY())</f>
        <v>2025</v>
      </c>
      <c r="J2" s="360">
        <v>2024</v>
      </c>
      <c r="K2" s="361">
        <v>17</v>
      </c>
      <c r="M2" s="85" t="s">
        <v>28</v>
      </c>
      <c r="N2" s="85" t="s">
        <v>576</v>
      </c>
    </row>
    <row r="3" spans="1:14">
      <c r="A3" s="332" t="s">
        <v>96</v>
      </c>
      <c r="B3" s="337" t="s">
        <v>31</v>
      </c>
      <c r="C3" s="332" t="str">
        <f t="shared" ref="C3:C56" si="0">CONCATENATE("Area ",MID(D3,1,1)," Grupo ",MID(D3,3,1)," Nivel ",MID(D3,5,1))</f>
        <v>Area 1 Grupo B Nivel 1</v>
      </c>
      <c r="D3" s="333" t="s">
        <v>31</v>
      </c>
      <c r="F3" s="48"/>
      <c r="H3" s="128">
        <f ca="1">H2-1</f>
        <v>2024</v>
      </c>
      <c r="J3" s="360">
        <v>2025</v>
      </c>
      <c r="K3" s="361">
        <f>K2*1.04</f>
        <v>17.68</v>
      </c>
      <c r="M3" s="85" t="s">
        <v>30</v>
      </c>
      <c r="N3" s="85" t="s">
        <v>571</v>
      </c>
    </row>
    <row r="4" spans="1:14">
      <c r="A4" s="332" t="s">
        <v>97</v>
      </c>
      <c r="B4" s="337" t="s">
        <v>32</v>
      </c>
      <c r="C4" s="332" t="str">
        <f t="shared" si="0"/>
        <v>Area 1 Grupo B Nivel 2</v>
      </c>
      <c r="D4" s="333" t="s">
        <v>32</v>
      </c>
      <c r="F4" s="47" t="s">
        <v>22</v>
      </c>
      <c r="H4" s="128">
        <f t="shared" ref="H4:H47" ca="1" si="1">H3-1</f>
        <v>2023</v>
      </c>
      <c r="J4" s="360">
        <v>2026</v>
      </c>
      <c r="K4" s="361">
        <f>K3*1.03</f>
        <v>18.2104</v>
      </c>
      <c r="M4" s="85" t="s">
        <v>33</v>
      </c>
      <c r="N4" s="85" t="s">
        <v>572</v>
      </c>
    </row>
    <row r="5" spans="1:14">
      <c r="A5" s="332" t="s">
        <v>98</v>
      </c>
      <c r="B5" s="337" t="s">
        <v>34</v>
      </c>
      <c r="C5" s="332" t="str">
        <f t="shared" si="0"/>
        <v>Area 1 Grupo C Nivel 1</v>
      </c>
      <c r="D5" s="333" t="s">
        <v>34</v>
      </c>
      <c r="F5" s="48"/>
      <c r="H5" s="128">
        <f t="shared" ca="1" si="1"/>
        <v>2022</v>
      </c>
      <c r="J5" s="360">
        <v>2027</v>
      </c>
      <c r="K5" s="361">
        <f>K4*1.03</f>
        <v>18.756712</v>
      </c>
      <c r="M5" s="85" t="s">
        <v>37</v>
      </c>
      <c r="N5" s="85" t="s">
        <v>573</v>
      </c>
    </row>
    <row r="6" spans="1:14">
      <c r="A6" s="332" t="s">
        <v>99</v>
      </c>
      <c r="B6" s="337" t="s">
        <v>35</v>
      </c>
      <c r="C6" s="332" t="str">
        <f t="shared" si="0"/>
        <v>Area 1 Grupo C Nivel 2</v>
      </c>
      <c r="D6" s="333" t="s">
        <v>35</v>
      </c>
      <c r="F6" s="47" t="s">
        <v>147</v>
      </c>
      <c r="H6" s="128">
        <f t="shared" ca="1" si="1"/>
        <v>2021</v>
      </c>
      <c r="J6" s="281"/>
      <c r="M6" s="85" t="s">
        <v>41</v>
      </c>
      <c r="N6" s="85" t="s">
        <v>577</v>
      </c>
    </row>
    <row r="7" spans="1:14">
      <c r="A7" s="332" t="s">
        <v>100</v>
      </c>
      <c r="B7" s="337" t="s">
        <v>36</v>
      </c>
      <c r="C7" s="332" t="str">
        <f t="shared" si="0"/>
        <v>Area 1 Grupo C Nivel 3</v>
      </c>
      <c r="D7" s="333" t="s">
        <v>36</v>
      </c>
      <c r="F7" s="48"/>
      <c r="H7" s="128">
        <f t="shared" ca="1" si="1"/>
        <v>2020</v>
      </c>
      <c r="J7" s="281"/>
      <c r="M7" s="85" t="s">
        <v>574</v>
      </c>
      <c r="N7" s="85" t="s">
        <v>578</v>
      </c>
    </row>
    <row r="8" spans="1:14">
      <c r="A8" s="332" t="s">
        <v>101</v>
      </c>
      <c r="B8" s="337" t="s">
        <v>38</v>
      </c>
      <c r="C8" s="332" t="str">
        <f t="shared" si="0"/>
        <v>Area 1 Grupo D Nivel 1</v>
      </c>
      <c r="D8" s="333" t="s">
        <v>38</v>
      </c>
      <c r="F8" s="47" t="s">
        <v>148</v>
      </c>
      <c r="H8" s="128">
        <f t="shared" ca="1" si="1"/>
        <v>2019</v>
      </c>
      <c r="J8" s="281" t="s">
        <v>590</v>
      </c>
      <c r="M8" s="85" t="s">
        <v>575</v>
      </c>
      <c r="N8" s="85" t="s">
        <v>579</v>
      </c>
    </row>
    <row r="9" spans="1:14">
      <c r="A9" s="332" t="s">
        <v>102</v>
      </c>
      <c r="B9" s="337" t="s">
        <v>39</v>
      </c>
      <c r="C9" s="332" t="str">
        <f t="shared" si="0"/>
        <v>Area 1 Grupo D Nivel 2</v>
      </c>
      <c r="D9" s="333" t="s">
        <v>39</v>
      </c>
      <c r="F9" s="48"/>
      <c r="H9" s="128">
        <f t="shared" ca="1" si="1"/>
        <v>2018</v>
      </c>
      <c r="J9" s="281"/>
      <c r="M9" s="1" t="s">
        <v>597</v>
      </c>
    </row>
    <row r="10" spans="1:14">
      <c r="A10" s="332" t="s">
        <v>103</v>
      </c>
      <c r="B10" s="337" t="s">
        <v>40</v>
      </c>
      <c r="C10" s="332" t="str">
        <f t="shared" si="0"/>
        <v>Area 1 Grupo D Nivel 3</v>
      </c>
      <c r="D10" s="333" t="s">
        <v>40</v>
      </c>
      <c r="F10" s="47" t="s">
        <v>154</v>
      </c>
      <c r="H10" s="128">
        <f t="shared" ca="1" si="1"/>
        <v>2017</v>
      </c>
      <c r="J10" s="281"/>
    </row>
    <row r="11" spans="1:14">
      <c r="A11" s="332" t="s">
        <v>104</v>
      </c>
      <c r="B11" s="337" t="s">
        <v>42</v>
      </c>
      <c r="C11" s="332" t="str">
        <f t="shared" si="0"/>
        <v>Area 1 Grupo E Nivel 1</v>
      </c>
      <c r="D11" s="333" t="s">
        <v>42</v>
      </c>
      <c r="F11" s="48"/>
      <c r="H11" s="128">
        <f t="shared" ca="1" si="1"/>
        <v>2016</v>
      </c>
      <c r="J11" s="281"/>
    </row>
    <row r="12" spans="1:14">
      <c r="A12" s="335" t="s">
        <v>105</v>
      </c>
      <c r="B12" s="343" t="s">
        <v>43</v>
      </c>
      <c r="C12" s="335" t="str">
        <f t="shared" si="0"/>
        <v>Area 1 Grupo E Nivel 2</v>
      </c>
      <c r="D12" s="344" t="s">
        <v>43</v>
      </c>
      <c r="F12" s="47" t="s">
        <v>445</v>
      </c>
      <c r="H12" s="128">
        <f t="shared" ca="1" si="1"/>
        <v>2015</v>
      </c>
      <c r="J12" s="281"/>
    </row>
    <row r="13" spans="1:14">
      <c r="A13" s="332" t="s">
        <v>106</v>
      </c>
      <c r="B13" s="337" t="s">
        <v>44</v>
      </c>
      <c r="C13" s="332" t="str">
        <f t="shared" si="0"/>
        <v>Area 2 Grupo A Nivel 1</v>
      </c>
      <c r="D13" s="333" t="s">
        <v>44</v>
      </c>
      <c r="F13" s="48"/>
      <c r="H13" s="128">
        <f t="shared" ca="1" si="1"/>
        <v>2014</v>
      </c>
      <c r="J13" s="281"/>
    </row>
    <row r="14" spans="1:14">
      <c r="A14" s="332" t="s">
        <v>107</v>
      </c>
      <c r="B14" s="337" t="s">
        <v>45</v>
      </c>
      <c r="C14" s="332" t="str">
        <f t="shared" si="0"/>
        <v>Area 2 Grupo B Nivel 1</v>
      </c>
      <c r="D14" s="333" t="s">
        <v>45</v>
      </c>
      <c r="F14" s="47" t="s">
        <v>447</v>
      </c>
      <c r="H14" s="128">
        <f t="shared" ca="1" si="1"/>
        <v>2013</v>
      </c>
      <c r="J14" s="281"/>
    </row>
    <row r="15" spans="1:14">
      <c r="A15" s="332" t="s">
        <v>108</v>
      </c>
      <c r="B15" s="337" t="s">
        <v>46</v>
      </c>
      <c r="C15" s="332" t="str">
        <f t="shared" si="0"/>
        <v>Area 2 Grupo B Nivel 2</v>
      </c>
      <c r="D15" s="333" t="s">
        <v>46</v>
      </c>
      <c r="F15" s="48"/>
      <c r="H15" s="128">
        <f t="shared" ca="1" si="1"/>
        <v>2012</v>
      </c>
    </row>
    <row r="16" spans="1:14">
      <c r="A16" s="332" t="s">
        <v>109</v>
      </c>
      <c r="B16" s="337" t="s">
        <v>47</v>
      </c>
      <c r="C16" s="332" t="str">
        <f t="shared" si="0"/>
        <v>Area 2 Grupo C Nivel 1</v>
      </c>
      <c r="D16" s="333" t="s">
        <v>47</v>
      </c>
      <c r="F16" s="47" t="s">
        <v>446</v>
      </c>
      <c r="H16" s="128">
        <f t="shared" ca="1" si="1"/>
        <v>2011</v>
      </c>
    </row>
    <row r="17" spans="1:8">
      <c r="A17" s="332" t="s">
        <v>110</v>
      </c>
      <c r="B17" s="337" t="s">
        <v>48</v>
      </c>
      <c r="C17" s="332" t="str">
        <f t="shared" si="0"/>
        <v>Area 2 Grupo C Nivel 2</v>
      </c>
      <c r="D17" s="333" t="s">
        <v>48</v>
      </c>
      <c r="F17" s="48"/>
      <c r="H17" s="128">
        <f t="shared" ca="1" si="1"/>
        <v>2010</v>
      </c>
    </row>
    <row r="18" spans="1:8">
      <c r="A18" s="332" t="s">
        <v>111</v>
      </c>
      <c r="B18" s="337" t="s">
        <v>49</v>
      </c>
      <c r="C18" s="332" t="str">
        <f t="shared" si="0"/>
        <v>Area 2 Grupo C Nivel 3</v>
      </c>
      <c r="D18" s="333" t="s">
        <v>49</v>
      </c>
      <c r="F18" s="47" t="s">
        <v>507</v>
      </c>
      <c r="H18" s="128">
        <f t="shared" ca="1" si="1"/>
        <v>2009</v>
      </c>
    </row>
    <row r="19" spans="1:8">
      <c r="A19" s="332" t="s">
        <v>112</v>
      </c>
      <c r="B19" s="337" t="s">
        <v>50</v>
      </c>
      <c r="C19" s="332" t="str">
        <f t="shared" si="0"/>
        <v>Area 2 Grupo D Nivel 1</v>
      </c>
      <c r="D19" s="333" t="s">
        <v>50</v>
      </c>
      <c r="F19" s="48"/>
      <c r="H19" s="128">
        <f t="shared" ca="1" si="1"/>
        <v>2008</v>
      </c>
    </row>
    <row r="20" spans="1:8">
      <c r="A20" s="332" t="s">
        <v>113</v>
      </c>
      <c r="B20" s="337" t="s">
        <v>51</v>
      </c>
      <c r="C20" s="332" t="str">
        <f t="shared" si="0"/>
        <v>Area 2 Grupo D Nivel 2</v>
      </c>
      <c r="D20" s="333" t="s">
        <v>51</v>
      </c>
      <c r="F20" s="47" t="s">
        <v>23</v>
      </c>
      <c r="H20" s="128">
        <f t="shared" ca="1" si="1"/>
        <v>2007</v>
      </c>
    </row>
    <row r="21" spans="1:8">
      <c r="A21" s="332" t="s">
        <v>114</v>
      </c>
      <c r="B21" s="337" t="s">
        <v>52</v>
      </c>
      <c r="C21" s="332" t="str">
        <f t="shared" si="0"/>
        <v>Area 2 Grupo D Nivel 3</v>
      </c>
      <c r="D21" s="333" t="s">
        <v>52</v>
      </c>
      <c r="F21" s="48"/>
      <c r="G21" s="347"/>
      <c r="H21" s="128">
        <f t="shared" ca="1" si="1"/>
        <v>2006</v>
      </c>
    </row>
    <row r="22" spans="1:8">
      <c r="A22" s="332" t="s">
        <v>115</v>
      </c>
      <c r="B22" s="337" t="s">
        <v>53</v>
      </c>
      <c r="C22" s="332" t="str">
        <f t="shared" si="0"/>
        <v>Area 2 Grupo E Nivel 1</v>
      </c>
      <c r="D22" s="333" t="s">
        <v>53</v>
      </c>
      <c r="F22" s="47" t="s">
        <v>23</v>
      </c>
      <c r="H22" s="128">
        <f t="shared" ca="1" si="1"/>
        <v>2005</v>
      </c>
    </row>
    <row r="23" spans="1:8">
      <c r="A23" s="332" t="s">
        <v>116</v>
      </c>
      <c r="B23" s="337" t="s">
        <v>54</v>
      </c>
      <c r="C23" s="332" t="str">
        <f t="shared" si="0"/>
        <v>Area 2 Grupo E Nivel 2</v>
      </c>
      <c r="D23" s="333" t="s">
        <v>54</v>
      </c>
      <c r="F23" s="128" t="s">
        <v>426</v>
      </c>
      <c r="G23" s="12"/>
      <c r="H23" s="128">
        <f t="shared" ca="1" si="1"/>
        <v>2004</v>
      </c>
    </row>
    <row r="24" spans="1:8">
      <c r="A24" s="340" t="s">
        <v>117</v>
      </c>
      <c r="B24" s="341" t="s">
        <v>55</v>
      </c>
      <c r="C24" s="340" t="str">
        <f t="shared" si="0"/>
        <v>Area 3 Grupo A Nivel 1</v>
      </c>
      <c r="D24" s="342" t="s">
        <v>55</v>
      </c>
      <c r="F24" s="48"/>
      <c r="G24" s="12"/>
      <c r="H24" s="128">
        <f t="shared" ca="1" si="1"/>
        <v>2003</v>
      </c>
    </row>
    <row r="25" spans="1:8">
      <c r="A25" s="332" t="s">
        <v>118</v>
      </c>
      <c r="B25" s="337" t="s">
        <v>56</v>
      </c>
      <c r="C25" s="332" t="str">
        <f t="shared" si="0"/>
        <v>Area 3 Grupo B Nivel 1</v>
      </c>
      <c r="D25" s="333" t="s">
        <v>56</v>
      </c>
      <c r="F25" s="47" t="s">
        <v>591</v>
      </c>
      <c r="G25" s="12"/>
      <c r="H25" s="128">
        <f t="shared" ca="1" si="1"/>
        <v>2002</v>
      </c>
    </row>
    <row r="26" spans="1:8">
      <c r="A26" s="332" t="s">
        <v>119</v>
      </c>
      <c r="B26" s="337" t="s">
        <v>57</v>
      </c>
      <c r="C26" s="332" t="str">
        <f t="shared" si="0"/>
        <v>Area 3 Grupo B Nivel 2</v>
      </c>
      <c r="D26" s="333" t="s">
        <v>57</v>
      </c>
      <c r="F26" s="48"/>
      <c r="H26" s="128">
        <f t="shared" ca="1" si="1"/>
        <v>2001</v>
      </c>
    </row>
    <row r="27" spans="1:8">
      <c r="A27" s="332" t="s">
        <v>120</v>
      </c>
      <c r="B27" s="337" t="s">
        <v>58</v>
      </c>
      <c r="C27" s="332" t="str">
        <f t="shared" si="0"/>
        <v>Area 3 Grupo C Nivel 1</v>
      </c>
      <c r="D27" s="333" t="s">
        <v>58</v>
      </c>
      <c r="F27" s="47" t="s">
        <v>459</v>
      </c>
      <c r="H27" s="128">
        <f t="shared" ca="1" si="1"/>
        <v>2000</v>
      </c>
    </row>
    <row r="28" spans="1:8">
      <c r="A28" s="332" t="s">
        <v>121</v>
      </c>
      <c r="B28" s="337" t="s">
        <v>59</v>
      </c>
      <c r="C28" s="332" t="str">
        <f t="shared" si="0"/>
        <v>Area 3 Grupo C Nivel 2</v>
      </c>
      <c r="D28" s="333" t="s">
        <v>59</v>
      </c>
      <c r="F28" s="128" t="s">
        <v>460</v>
      </c>
      <c r="H28" s="128">
        <f t="shared" ca="1" si="1"/>
        <v>1999</v>
      </c>
    </row>
    <row r="29" spans="1:8">
      <c r="A29" s="332" t="s">
        <v>122</v>
      </c>
      <c r="B29" s="337" t="s">
        <v>60</v>
      </c>
      <c r="C29" s="332" t="str">
        <f t="shared" si="0"/>
        <v>Area 3 Grupo C Nivel 3</v>
      </c>
      <c r="D29" s="333" t="s">
        <v>60</v>
      </c>
      <c r="F29" s="85" t="s">
        <v>498</v>
      </c>
      <c r="H29" s="128">
        <f t="shared" ca="1" si="1"/>
        <v>1998</v>
      </c>
    </row>
    <row r="30" spans="1:8">
      <c r="A30" s="332" t="s">
        <v>123</v>
      </c>
      <c r="B30" s="337" t="s">
        <v>61</v>
      </c>
      <c r="C30" s="332" t="str">
        <f t="shared" si="0"/>
        <v>Area 3 Grupo D Nivel 1</v>
      </c>
      <c r="D30" s="333" t="s">
        <v>61</v>
      </c>
      <c r="F30" s="47" t="s">
        <v>498</v>
      </c>
      <c r="H30" s="128">
        <f t="shared" ca="1" si="1"/>
        <v>1997</v>
      </c>
    </row>
    <row r="31" spans="1:8">
      <c r="A31" s="332" t="s">
        <v>124</v>
      </c>
      <c r="B31" s="337" t="s">
        <v>62</v>
      </c>
      <c r="C31" s="332" t="str">
        <f t="shared" si="0"/>
        <v>Area 3 Grupo D Nivel 2</v>
      </c>
      <c r="D31" s="333" t="s">
        <v>62</v>
      </c>
      <c r="F31" s="48" t="s">
        <v>499</v>
      </c>
      <c r="H31" s="128">
        <f t="shared" ca="1" si="1"/>
        <v>1996</v>
      </c>
    </row>
    <row r="32" spans="1:8">
      <c r="A32" s="332" t="s">
        <v>125</v>
      </c>
      <c r="B32" s="337" t="s">
        <v>63</v>
      </c>
      <c r="C32" s="332" t="str">
        <f t="shared" si="0"/>
        <v>Area 3 Grupo D Nivel 3</v>
      </c>
      <c r="D32" s="333" t="s">
        <v>63</v>
      </c>
      <c r="F32" s="85" t="s">
        <v>532</v>
      </c>
      <c r="G32" s="12"/>
      <c r="H32" s="128">
        <f t="shared" ca="1" si="1"/>
        <v>1995</v>
      </c>
    </row>
    <row r="33" spans="1:9">
      <c r="A33" s="332" t="s">
        <v>126</v>
      </c>
      <c r="B33" s="337" t="s">
        <v>64</v>
      </c>
      <c r="C33" s="332" t="str">
        <f t="shared" si="0"/>
        <v>Area 3 Grupo E Nivel 1</v>
      </c>
      <c r="D33" s="333" t="s">
        <v>64</v>
      </c>
      <c r="F33" s="85" t="s">
        <v>533</v>
      </c>
      <c r="H33" s="128">
        <f t="shared" ca="1" si="1"/>
        <v>1994</v>
      </c>
    </row>
    <row r="34" spans="1:9">
      <c r="A34" s="335" t="s">
        <v>127</v>
      </c>
      <c r="B34" s="343" t="s">
        <v>65</v>
      </c>
      <c r="C34" s="335" t="str">
        <f t="shared" si="0"/>
        <v>Area 3 Grupo E Nivel 2</v>
      </c>
      <c r="D34" s="344" t="s">
        <v>65</v>
      </c>
      <c r="F34" s="47" t="s">
        <v>172</v>
      </c>
      <c r="H34" s="128">
        <f t="shared" ca="1" si="1"/>
        <v>1993</v>
      </c>
    </row>
    <row r="35" spans="1:9">
      <c r="A35" s="340" t="s">
        <v>128</v>
      </c>
      <c r="B35" s="341" t="s">
        <v>66</v>
      </c>
      <c r="C35" s="340" t="str">
        <f t="shared" si="0"/>
        <v>Area 4 Grupo A Nivel 1</v>
      </c>
      <c r="D35" s="342" t="s">
        <v>66</v>
      </c>
      <c r="F35" s="48"/>
      <c r="H35" s="128">
        <f t="shared" ca="1" si="1"/>
        <v>1992</v>
      </c>
    </row>
    <row r="36" spans="1:9">
      <c r="A36" s="332" t="s">
        <v>129</v>
      </c>
      <c r="B36" s="337" t="s">
        <v>67</v>
      </c>
      <c r="C36" s="332" t="str">
        <f t="shared" si="0"/>
        <v>Area 4 Grupo B Nivel 1</v>
      </c>
      <c r="D36" s="333" t="s">
        <v>67</v>
      </c>
      <c r="F36" s="47" t="s">
        <v>564</v>
      </c>
      <c r="H36" s="128">
        <f t="shared" ca="1" si="1"/>
        <v>1991</v>
      </c>
    </row>
    <row r="37" spans="1:9">
      <c r="A37" s="332" t="s">
        <v>130</v>
      </c>
      <c r="B37" s="337" t="s">
        <v>68</v>
      </c>
      <c r="C37" s="332" t="str">
        <f t="shared" si="0"/>
        <v>Area 4 Grupo B Nivel 2</v>
      </c>
      <c r="D37" s="333" t="s">
        <v>68</v>
      </c>
      <c r="F37" s="48"/>
      <c r="H37" s="128">
        <f t="shared" ca="1" si="1"/>
        <v>1990</v>
      </c>
    </row>
    <row r="38" spans="1:9">
      <c r="A38" s="332" t="s">
        <v>131</v>
      </c>
      <c r="B38" s="337" t="s">
        <v>69</v>
      </c>
      <c r="C38" s="332" t="str">
        <f t="shared" si="0"/>
        <v>Area 4 Grupo C Nivel 1</v>
      </c>
      <c r="D38" s="333" t="s">
        <v>69</v>
      </c>
      <c r="H38" s="128">
        <f t="shared" ca="1" si="1"/>
        <v>1989</v>
      </c>
    </row>
    <row r="39" spans="1:9">
      <c r="A39" s="332" t="s">
        <v>132</v>
      </c>
      <c r="B39" s="337" t="s">
        <v>70</v>
      </c>
      <c r="C39" s="332" t="str">
        <f t="shared" si="0"/>
        <v>Area 4 Grupo C Nivel 2</v>
      </c>
      <c r="D39" s="333" t="s">
        <v>70</v>
      </c>
      <c r="H39" s="128">
        <f t="shared" ca="1" si="1"/>
        <v>1988</v>
      </c>
    </row>
    <row r="40" spans="1:9">
      <c r="A40" s="332" t="s">
        <v>133</v>
      </c>
      <c r="B40" s="337" t="s">
        <v>71</v>
      </c>
      <c r="C40" s="332" t="str">
        <f t="shared" si="0"/>
        <v>Area 4 Grupo C Nivel 3</v>
      </c>
      <c r="D40" s="333" t="s">
        <v>71</v>
      </c>
      <c r="H40" s="128">
        <f t="shared" ca="1" si="1"/>
        <v>1987</v>
      </c>
    </row>
    <row r="41" spans="1:9">
      <c r="A41" s="332" t="s">
        <v>134</v>
      </c>
      <c r="B41" s="337" t="s">
        <v>72</v>
      </c>
      <c r="C41" s="332" t="str">
        <f t="shared" si="0"/>
        <v>Area 4 Grupo D Nivel 1</v>
      </c>
      <c r="D41" s="333" t="s">
        <v>72</v>
      </c>
      <c r="H41" s="128">
        <f t="shared" ca="1" si="1"/>
        <v>1986</v>
      </c>
    </row>
    <row r="42" spans="1:9">
      <c r="A42" s="332" t="s">
        <v>135</v>
      </c>
      <c r="B42" s="337" t="s">
        <v>73</v>
      </c>
      <c r="C42" s="332" t="str">
        <f t="shared" si="0"/>
        <v>Area 4 Grupo D Nivel 2</v>
      </c>
      <c r="D42" s="333" t="s">
        <v>73</v>
      </c>
      <c r="H42" s="128">
        <f t="shared" ca="1" si="1"/>
        <v>1985</v>
      </c>
    </row>
    <row r="43" spans="1:9">
      <c r="A43" s="332" t="s">
        <v>136</v>
      </c>
      <c r="B43" s="337" t="s">
        <v>74</v>
      </c>
      <c r="C43" s="332" t="str">
        <f t="shared" si="0"/>
        <v>Area 4 Grupo D Nivel 3</v>
      </c>
      <c r="D43" s="333" t="s">
        <v>74</v>
      </c>
      <c r="H43" s="128">
        <f t="shared" ca="1" si="1"/>
        <v>1984</v>
      </c>
    </row>
    <row r="44" spans="1:9">
      <c r="A44" s="332" t="s">
        <v>137</v>
      </c>
      <c r="B44" s="337" t="s">
        <v>75</v>
      </c>
      <c r="C44" s="332" t="str">
        <f t="shared" si="0"/>
        <v>Area 4 Grupo E Nivel 1</v>
      </c>
      <c r="D44" s="333" t="s">
        <v>75</v>
      </c>
      <c r="H44" s="128">
        <f t="shared" ca="1" si="1"/>
        <v>1983</v>
      </c>
    </row>
    <row r="45" spans="1:9">
      <c r="A45" s="335" t="s">
        <v>138</v>
      </c>
      <c r="B45" s="343" t="s">
        <v>76</v>
      </c>
      <c r="C45" s="335" t="str">
        <f t="shared" si="0"/>
        <v>Area 4 Grupo E Nivel 2</v>
      </c>
      <c r="D45" s="344" t="s">
        <v>76</v>
      </c>
      <c r="H45" s="128">
        <f t="shared" ca="1" si="1"/>
        <v>1982</v>
      </c>
    </row>
    <row r="46" spans="1:9">
      <c r="A46" s="332" t="s">
        <v>91</v>
      </c>
      <c r="B46" s="338" t="s">
        <v>88</v>
      </c>
      <c r="C46" s="332" t="str">
        <f t="shared" si="0"/>
        <v>Area 5 Grupo A Nivel 1</v>
      </c>
      <c r="D46" s="333" t="s">
        <v>77</v>
      </c>
      <c r="H46" s="128">
        <f t="shared" ca="1" si="1"/>
        <v>1981</v>
      </c>
    </row>
    <row r="47" spans="1:9">
      <c r="A47" s="332" t="s">
        <v>92</v>
      </c>
      <c r="B47" s="338" t="s">
        <v>89</v>
      </c>
      <c r="C47" s="332" t="str">
        <f t="shared" si="0"/>
        <v>Area 5 Grupo B Nivel 1</v>
      </c>
      <c r="D47" s="333" t="s">
        <v>78</v>
      </c>
      <c r="H47" s="128">
        <f t="shared" ca="1" si="1"/>
        <v>1980</v>
      </c>
      <c r="I47" s="12"/>
    </row>
    <row r="48" spans="1:9">
      <c r="A48" s="335" t="s">
        <v>93</v>
      </c>
      <c r="B48" s="339" t="s">
        <v>90</v>
      </c>
      <c r="C48" s="332" t="str">
        <f t="shared" si="0"/>
        <v>Area 5 Grupo B Nivel 2</v>
      </c>
      <c r="D48" s="333" t="s">
        <v>79</v>
      </c>
      <c r="H48" s="349"/>
      <c r="I48" s="12"/>
    </row>
    <row r="49" spans="1:9">
      <c r="A49" s="39"/>
      <c r="B49" s="42"/>
      <c r="C49" s="332" t="str">
        <f t="shared" si="0"/>
        <v>Area 5 Grupo C Nivel 1</v>
      </c>
      <c r="D49" s="333" t="s">
        <v>80</v>
      </c>
      <c r="H49" s="12"/>
      <c r="I49" s="12"/>
    </row>
    <row r="50" spans="1:9">
      <c r="A50" s="39"/>
      <c r="B50" s="42"/>
      <c r="C50" s="332" t="str">
        <f t="shared" si="0"/>
        <v>Area 5 Grupo C Nivel 2</v>
      </c>
      <c r="D50" s="333" t="s">
        <v>81</v>
      </c>
      <c r="H50" s="12"/>
      <c r="I50" s="12"/>
    </row>
    <row r="51" spans="1:9">
      <c r="A51" s="39"/>
      <c r="B51" s="42"/>
      <c r="C51" s="332" t="str">
        <f t="shared" si="0"/>
        <v>Area 5 Grupo C Nivel 3</v>
      </c>
      <c r="D51" s="333" t="s">
        <v>82</v>
      </c>
      <c r="H51" s="12"/>
      <c r="I51" s="12"/>
    </row>
    <row r="52" spans="1:9">
      <c r="A52" s="39"/>
      <c r="B52" s="42"/>
      <c r="C52" s="332" t="str">
        <f t="shared" si="0"/>
        <v>Area 5 Grupo D Nivel 1</v>
      </c>
      <c r="D52" s="333" t="s">
        <v>83</v>
      </c>
    </row>
    <row r="53" spans="1:9">
      <c r="A53" s="39"/>
      <c r="B53" s="42"/>
      <c r="C53" s="332" t="str">
        <f t="shared" si="0"/>
        <v>Area 5 Grupo D Nivel 2</v>
      </c>
      <c r="D53" s="333" t="s">
        <v>84</v>
      </c>
    </row>
    <row r="54" spans="1:9">
      <c r="A54" s="39"/>
      <c r="B54" s="42"/>
      <c r="C54" s="332" t="str">
        <f t="shared" si="0"/>
        <v>Area 5 Grupo D Nivel 3</v>
      </c>
      <c r="D54" s="333" t="s">
        <v>85</v>
      </c>
    </row>
    <row r="55" spans="1:9">
      <c r="A55" s="39"/>
      <c r="B55" s="42"/>
      <c r="C55" s="332" t="str">
        <f t="shared" si="0"/>
        <v>Area 5 Grupo E Nivel 1</v>
      </c>
      <c r="D55" s="333" t="s">
        <v>86</v>
      </c>
    </row>
    <row r="56" spans="1:9">
      <c r="A56" s="39"/>
      <c r="B56" s="42"/>
      <c r="C56" s="335" t="str">
        <f t="shared" si="0"/>
        <v>Area 5 Grupo E Nivel 2</v>
      </c>
      <c r="D56" s="344" t="s">
        <v>87</v>
      </c>
    </row>
    <row r="57" spans="1:9">
      <c r="A57" s="39"/>
      <c r="B57" s="39"/>
      <c r="C57" s="332" t="s">
        <v>91</v>
      </c>
      <c r="D57" s="334" t="s">
        <v>88</v>
      </c>
    </row>
    <row r="58" spans="1:9">
      <c r="A58" s="39"/>
      <c r="B58" s="39"/>
      <c r="C58" s="332" t="s">
        <v>92</v>
      </c>
      <c r="D58" s="334" t="s">
        <v>89</v>
      </c>
    </row>
    <row r="59" spans="1:9">
      <c r="A59" s="39"/>
      <c r="B59" s="39"/>
      <c r="C59" s="335" t="s">
        <v>93</v>
      </c>
      <c r="D59" s="336" t="s">
        <v>90</v>
      </c>
    </row>
    <row r="60" spans="1:9">
      <c r="D60" s="4"/>
    </row>
    <row r="64" spans="1:9">
      <c r="B64" s="40"/>
    </row>
    <row r="65" spans="2:2">
      <c r="B65" s="40"/>
    </row>
    <row r="66" spans="2:2">
      <c r="B66" s="40"/>
    </row>
    <row r="67" spans="2:2">
      <c r="B67" s="40"/>
    </row>
    <row r="68" spans="2:2">
      <c r="B68" s="40"/>
    </row>
    <row r="69" spans="2:2">
      <c r="B69" s="40"/>
    </row>
    <row r="70" spans="2:2">
      <c r="B70" s="40"/>
    </row>
    <row r="71" spans="2:2">
      <c r="B71" s="40"/>
    </row>
    <row r="72" spans="2:2">
      <c r="B72" s="40"/>
    </row>
    <row r="73" spans="2:2">
      <c r="B73" s="40"/>
    </row>
    <row r="74" spans="2:2">
      <c r="B74" s="40"/>
    </row>
    <row r="75" spans="2:2">
      <c r="B75" s="40"/>
    </row>
    <row r="76" spans="2:2">
      <c r="B76" s="40"/>
    </row>
    <row r="77" spans="2:2">
      <c r="B77" s="40"/>
    </row>
    <row r="78" spans="2:2">
      <c r="B78" s="40"/>
    </row>
    <row r="79" spans="2:2">
      <c r="B79" s="40"/>
    </row>
    <row r="80" spans="2:2">
      <c r="B80" s="40"/>
    </row>
    <row r="81" spans="2:2">
      <c r="B81" s="40"/>
    </row>
    <row r="82" spans="2:2">
      <c r="B82" s="40"/>
    </row>
    <row r="83" spans="2:2">
      <c r="B83" s="40"/>
    </row>
    <row r="84" spans="2:2">
      <c r="B84" s="40"/>
    </row>
    <row r="85" spans="2:2">
      <c r="B85" s="40"/>
    </row>
    <row r="86" spans="2:2">
      <c r="B86" s="40"/>
    </row>
    <row r="87" spans="2:2">
      <c r="B87" s="40"/>
    </row>
    <row r="88" spans="2:2">
      <c r="B88" s="40"/>
    </row>
    <row r="89" spans="2:2">
      <c r="B89" s="40"/>
    </row>
    <row r="90" spans="2:2">
      <c r="B90" s="40"/>
    </row>
    <row r="91" spans="2:2">
      <c r="B91" s="40"/>
    </row>
    <row r="92" spans="2:2">
      <c r="B92" s="40"/>
    </row>
    <row r="93" spans="2:2">
      <c r="B93" s="40"/>
    </row>
    <row r="94" spans="2:2">
      <c r="B94" s="40"/>
    </row>
    <row r="95" spans="2:2">
      <c r="B95" s="40"/>
    </row>
    <row r="96" spans="2:2">
      <c r="B96" s="40"/>
    </row>
    <row r="97" spans="2:2">
      <c r="B97" s="40"/>
    </row>
    <row r="98" spans="2:2">
      <c r="B98" s="40"/>
    </row>
    <row r="99" spans="2:2">
      <c r="B99" s="40"/>
    </row>
    <row r="100" spans="2:2">
      <c r="B100" s="40"/>
    </row>
    <row r="101" spans="2:2">
      <c r="B101" s="40"/>
    </row>
    <row r="102" spans="2:2">
      <c r="B102" s="40"/>
    </row>
    <row r="103" spans="2:2">
      <c r="B103" s="40"/>
    </row>
    <row r="104" spans="2:2">
      <c r="B104" s="40"/>
    </row>
    <row r="105" spans="2:2">
      <c r="B105" s="40"/>
    </row>
    <row r="106" spans="2:2">
      <c r="B106" s="40"/>
    </row>
    <row r="107" spans="2:2">
      <c r="B107" s="40"/>
    </row>
    <row r="108" spans="2:2">
      <c r="B108" s="41"/>
    </row>
    <row r="109" spans="2:2">
      <c r="B109" s="41"/>
    </row>
    <row r="110" spans="2:2">
      <c r="B110" s="41"/>
    </row>
  </sheetData>
  <mergeCells count="2">
    <mergeCell ref="J1:K1"/>
    <mergeCell ref="M1:N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899C5-7C51-4E61-812E-A5D1CDDDD41B}">
  <sheetPr codeName="Hoja8"/>
  <dimension ref="A1:E173"/>
  <sheetViews>
    <sheetView topLeftCell="A43" workbookViewId="0">
      <selection activeCell="B26" sqref="B26"/>
    </sheetView>
  </sheetViews>
  <sheetFormatPr baseColWidth="10" defaultRowHeight="14.5"/>
  <cols>
    <col min="2" max="2" width="30.26953125" bestFit="1" customWidth="1"/>
    <col min="3" max="3" width="25.1796875" bestFit="1" customWidth="1"/>
    <col min="4" max="4" width="13.26953125" bestFit="1" customWidth="1"/>
    <col min="5" max="5" width="26.453125" bestFit="1" customWidth="1"/>
  </cols>
  <sheetData>
    <row r="1" spans="1:5">
      <c r="A1" s="97" t="s">
        <v>346</v>
      </c>
      <c r="B1" s="97" t="s">
        <v>342</v>
      </c>
      <c r="C1" s="97" t="s">
        <v>343</v>
      </c>
      <c r="D1" s="97" t="s">
        <v>344</v>
      </c>
      <c r="E1" s="97" t="s">
        <v>345</v>
      </c>
    </row>
    <row r="2" spans="1:5">
      <c r="A2">
        <v>1</v>
      </c>
      <c r="B2" t="s">
        <v>155</v>
      </c>
      <c r="C2" t="s">
        <v>18</v>
      </c>
      <c r="D2" t="s">
        <v>156</v>
      </c>
      <c r="E2" t="s">
        <v>157</v>
      </c>
    </row>
    <row r="3" spans="1:5">
      <c r="A3">
        <v>2</v>
      </c>
      <c r="B3" t="s">
        <v>18</v>
      </c>
      <c r="C3" t="s">
        <v>18</v>
      </c>
      <c r="D3" t="s">
        <v>156</v>
      </c>
      <c r="E3" t="s">
        <v>157</v>
      </c>
    </row>
    <row r="4" spans="1:5">
      <c r="A4">
        <v>3</v>
      </c>
      <c r="B4" t="s">
        <v>148</v>
      </c>
      <c r="C4" t="s">
        <v>18</v>
      </c>
      <c r="D4" t="s">
        <v>156</v>
      </c>
      <c r="E4" t="s">
        <v>157</v>
      </c>
    </row>
    <row r="5" spans="1:5">
      <c r="A5">
        <v>4</v>
      </c>
      <c r="B5" t="s">
        <v>147</v>
      </c>
      <c r="C5" t="s">
        <v>18</v>
      </c>
      <c r="D5" t="s">
        <v>156</v>
      </c>
      <c r="E5" t="s">
        <v>157</v>
      </c>
    </row>
    <row r="6" spans="1:5">
      <c r="A6">
        <v>5</v>
      </c>
      <c r="B6" t="s">
        <v>158</v>
      </c>
      <c r="C6" t="s">
        <v>18</v>
      </c>
      <c r="D6" t="s">
        <v>156</v>
      </c>
      <c r="E6" t="s">
        <v>157</v>
      </c>
    </row>
    <row r="7" spans="1:5">
      <c r="A7">
        <v>6</v>
      </c>
      <c r="B7" t="s">
        <v>159</v>
      </c>
      <c r="C7" t="s">
        <v>160</v>
      </c>
      <c r="D7" t="s">
        <v>156</v>
      </c>
      <c r="E7" t="s">
        <v>161</v>
      </c>
    </row>
    <row r="8" spans="1:5">
      <c r="A8">
        <v>7</v>
      </c>
      <c r="B8" t="s">
        <v>20</v>
      </c>
      <c r="C8" t="s">
        <v>160</v>
      </c>
      <c r="D8" t="s">
        <v>156</v>
      </c>
      <c r="E8" t="s">
        <v>161</v>
      </c>
    </row>
    <row r="9" spans="1:5">
      <c r="A9">
        <v>8</v>
      </c>
      <c r="B9" t="s">
        <v>162</v>
      </c>
      <c r="C9" t="s">
        <v>160</v>
      </c>
      <c r="D9" t="s">
        <v>156</v>
      </c>
      <c r="E9" t="s">
        <v>161</v>
      </c>
    </row>
    <row r="10" spans="1:5">
      <c r="A10">
        <v>9</v>
      </c>
      <c r="B10" t="s">
        <v>163</v>
      </c>
      <c r="C10" t="s">
        <v>160</v>
      </c>
      <c r="D10" t="s">
        <v>156</v>
      </c>
      <c r="E10" t="s">
        <v>161</v>
      </c>
    </row>
    <row r="11" spans="1:5">
      <c r="A11">
        <v>10</v>
      </c>
      <c r="B11" t="s">
        <v>20</v>
      </c>
      <c r="C11" t="s">
        <v>160</v>
      </c>
      <c r="D11" t="s">
        <v>156</v>
      </c>
      <c r="E11" t="s">
        <v>161</v>
      </c>
    </row>
    <row r="12" spans="1:5">
      <c r="A12">
        <v>11</v>
      </c>
      <c r="B12" t="s">
        <v>164</v>
      </c>
      <c r="C12" t="s">
        <v>160</v>
      </c>
      <c r="D12" t="s">
        <v>156</v>
      </c>
      <c r="E12" t="s">
        <v>161</v>
      </c>
    </row>
    <row r="13" spans="1:5">
      <c r="A13">
        <v>12</v>
      </c>
      <c r="B13" t="s">
        <v>165</v>
      </c>
      <c r="C13" t="s">
        <v>160</v>
      </c>
      <c r="D13" t="s">
        <v>156</v>
      </c>
      <c r="E13" t="s">
        <v>161</v>
      </c>
    </row>
    <row r="14" spans="1:5">
      <c r="A14">
        <v>13</v>
      </c>
      <c r="B14" t="s">
        <v>166</v>
      </c>
      <c r="C14" t="s">
        <v>160</v>
      </c>
      <c r="D14" t="s">
        <v>156</v>
      </c>
      <c r="E14" t="s">
        <v>191</v>
      </c>
    </row>
    <row r="15" spans="1:5">
      <c r="A15">
        <v>14</v>
      </c>
      <c r="B15" t="s">
        <v>167</v>
      </c>
      <c r="C15" t="s">
        <v>160</v>
      </c>
      <c r="D15" t="s">
        <v>156</v>
      </c>
      <c r="E15" t="s">
        <v>191</v>
      </c>
    </row>
    <row r="16" spans="1:5">
      <c r="A16">
        <v>15</v>
      </c>
      <c r="B16" t="s">
        <v>168</v>
      </c>
      <c r="C16" t="s">
        <v>160</v>
      </c>
      <c r="D16" t="s">
        <v>156</v>
      </c>
      <c r="E16" t="s">
        <v>191</v>
      </c>
    </row>
    <row r="17" spans="1:5">
      <c r="A17">
        <v>16</v>
      </c>
      <c r="B17" t="s">
        <v>169</v>
      </c>
      <c r="C17" t="s">
        <v>160</v>
      </c>
      <c r="D17" t="s">
        <v>156</v>
      </c>
      <c r="E17" t="s">
        <v>191</v>
      </c>
    </row>
    <row r="18" spans="1:5">
      <c r="A18">
        <v>17</v>
      </c>
      <c r="B18" t="s">
        <v>170</v>
      </c>
      <c r="C18" t="s">
        <v>160</v>
      </c>
      <c r="D18" t="s">
        <v>156</v>
      </c>
      <c r="E18" t="s">
        <v>191</v>
      </c>
    </row>
    <row r="19" spans="1:5">
      <c r="A19">
        <v>18</v>
      </c>
      <c r="B19" t="s">
        <v>171</v>
      </c>
      <c r="C19" t="s">
        <v>160</v>
      </c>
      <c r="D19" t="s">
        <v>156</v>
      </c>
      <c r="E19" t="s">
        <v>191</v>
      </c>
    </row>
    <row r="20" spans="1:5">
      <c r="A20">
        <v>19</v>
      </c>
      <c r="B20" t="s">
        <v>172</v>
      </c>
      <c r="C20" t="s">
        <v>160</v>
      </c>
      <c r="D20" t="s">
        <v>156</v>
      </c>
      <c r="E20" t="s">
        <v>191</v>
      </c>
    </row>
    <row r="21" spans="1:5">
      <c r="A21">
        <v>20</v>
      </c>
      <c r="B21" t="s">
        <v>173</v>
      </c>
      <c r="C21" t="s">
        <v>160</v>
      </c>
      <c r="D21" t="s">
        <v>156</v>
      </c>
      <c r="E21" t="s">
        <v>191</v>
      </c>
    </row>
    <row r="22" spans="1:5">
      <c r="A22">
        <v>21</v>
      </c>
      <c r="B22" t="s">
        <v>338</v>
      </c>
      <c r="C22" t="s">
        <v>160</v>
      </c>
      <c r="D22" t="s">
        <v>156</v>
      </c>
      <c r="E22" t="s">
        <v>191</v>
      </c>
    </row>
    <row r="23" spans="1:5">
      <c r="A23">
        <v>22</v>
      </c>
      <c r="B23" t="s">
        <v>173</v>
      </c>
      <c r="C23" t="s">
        <v>160</v>
      </c>
      <c r="D23" t="s">
        <v>156</v>
      </c>
      <c r="E23" t="s">
        <v>191</v>
      </c>
    </row>
    <row r="24" spans="1:5">
      <c r="A24">
        <v>23</v>
      </c>
      <c r="B24" t="s">
        <v>174</v>
      </c>
      <c r="C24" t="s">
        <v>160</v>
      </c>
      <c r="D24" t="s">
        <v>156</v>
      </c>
      <c r="E24" t="s">
        <v>191</v>
      </c>
    </row>
    <row r="25" spans="1:5">
      <c r="A25">
        <v>24</v>
      </c>
      <c r="B25" t="s">
        <v>175</v>
      </c>
      <c r="C25" t="s">
        <v>160</v>
      </c>
      <c r="D25" t="s">
        <v>156</v>
      </c>
      <c r="E25" t="s">
        <v>191</v>
      </c>
    </row>
    <row r="26" spans="1:5">
      <c r="A26">
        <v>25</v>
      </c>
      <c r="B26" t="s">
        <v>176</v>
      </c>
      <c r="C26" t="s">
        <v>160</v>
      </c>
      <c r="D26" t="s">
        <v>156</v>
      </c>
      <c r="E26" t="s">
        <v>191</v>
      </c>
    </row>
    <row r="27" spans="1:5">
      <c r="A27">
        <v>26</v>
      </c>
      <c r="B27" t="s">
        <v>339</v>
      </c>
      <c r="C27" t="s">
        <v>160</v>
      </c>
      <c r="D27" t="s">
        <v>156</v>
      </c>
      <c r="E27" t="s">
        <v>191</v>
      </c>
    </row>
    <row r="28" spans="1:5">
      <c r="A28">
        <v>27</v>
      </c>
      <c r="B28" t="s">
        <v>340</v>
      </c>
      <c r="C28" t="s">
        <v>160</v>
      </c>
      <c r="D28" t="s">
        <v>156</v>
      </c>
      <c r="E28" t="s">
        <v>191</v>
      </c>
    </row>
    <row r="29" spans="1:5">
      <c r="A29">
        <v>28</v>
      </c>
      <c r="B29" t="s">
        <v>177</v>
      </c>
      <c r="C29" t="s">
        <v>160</v>
      </c>
      <c r="D29" t="s">
        <v>156</v>
      </c>
      <c r="E29" t="s">
        <v>191</v>
      </c>
    </row>
    <row r="30" spans="1:5">
      <c r="A30">
        <v>29</v>
      </c>
      <c r="B30" t="s">
        <v>178</v>
      </c>
      <c r="C30" t="s">
        <v>160</v>
      </c>
      <c r="D30" t="s">
        <v>156</v>
      </c>
      <c r="E30" t="s">
        <v>191</v>
      </c>
    </row>
    <row r="31" spans="1:5">
      <c r="A31">
        <v>30</v>
      </c>
      <c r="B31" t="s">
        <v>179</v>
      </c>
      <c r="C31" t="s">
        <v>160</v>
      </c>
      <c r="D31" t="s">
        <v>156</v>
      </c>
      <c r="E31" t="s">
        <v>191</v>
      </c>
    </row>
    <row r="32" spans="1:5">
      <c r="A32">
        <v>31</v>
      </c>
      <c r="B32" t="s">
        <v>180</v>
      </c>
      <c r="C32" t="s">
        <v>160</v>
      </c>
      <c r="D32" t="s">
        <v>156</v>
      </c>
      <c r="E32" t="s">
        <v>191</v>
      </c>
    </row>
    <row r="33" spans="1:5">
      <c r="A33">
        <v>32</v>
      </c>
      <c r="B33" t="s">
        <v>181</v>
      </c>
      <c r="C33" t="s">
        <v>160</v>
      </c>
      <c r="D33" t="s">
        <v>156</v>
      </c>
      <c r="E33" t="s">
        <v>191</v>
      </c>
    </row>
    <row r="34" spans="1:5">
      <c r="A34">
        <v>33</v>
      </c>
      <c r="B34" t="s">
        <v>182</v>
      </c>
      <c r="C34" t="s">
        <v>160</v>
      </c>
      <c r="D34" t="s">
        <v>156</v>
      </c>
      <c r="E34" t="s">
        <v>191</v>
      </c>
    </row>
    <row r="35" spans="1:5">
      <c r="A35">
        <v>34</v>
      </c>
      <c r="B35" t="s">
        <v>183</v>
      </c>
      <c r="C35" t="s">
        <v>160</v>
      </c>
      <c r="D35" t="s">
        <v>156</v>
      </c>
      <c r="E35" t="s">
        <v>191</v>
      </c>
    </row>
    <row r="36" spans="1:5">
      <c r="A36">
        <v>35</v>
      </c>
      <c r="B36" t="s">
        <v>184</v>
      </c>
      <c r="C36" t="s">
        <v>160</v>
      </c>
      <c r="D36" t="s">
        <v>156</v>
      </c>
      <c r="E36" t="s">
        <v>191</v>
      </c>
    </row>
    <row r="37" spans="1:5">
      <c r="A37">
        <v>36</v>
      </c>
      <c r="B37" t="s">
        <v>185</v>
      </c>
      <c r="C37" t="s">
        <v>160</v>
      </c>
      <c r="D37" t="s">
        <v>156</v>
      </c>
      <c r="E37" t="s">
        <v>191</v>
      </c>
    </row>
    <row r="38" spans="1:5">
      <c r="A38">
        <v>37</v>
      </c>
      <c r="B38" t="s">
        <v>186</v>
      </c>
      <c r="C38" t="s">
        <v>160</v>
      </c>
      <c r="D38" t="s">
        <v>156</v>
      </c>
      <c r="E38" t="s">
        <v>191</v>
      </c>
    </row>
    <row r="39" spans="1:5">
      <c r="A39">
        <v>38</v>
      </c>
      <c r="B39" t="s">
        <v>187</v>
      </c>
      <c r="C39" t="s">
        <v>160</v>
      </c>
      <c r="D39" t="s">
        <v>156</v>
      </c>
      <c r="E39" t="s">
        <v>192</v>
      </c>
    </row>
    <row r="40" spans="1:5">
      <c r="A40">
        <v>39</v>
      </c>
      <c r="B40" t="s">
        <v>188</v>
      </c>
      <c r="C40" t="s">
        <v>160</v>
      </c>
      <c r="D40" t="s">
        <v>156</v>
      </c>
      <c r="E40" t="s">
        <v>192</v>
      </c>
    </row>
    <row r="41" spans="1:5">
      <c r="A41">
        <v>40</v>
      </c>
      <c r="B41" t="s">
        <v>189</v>
      </c>
      <c r="C41" t="s">
        <v>160</v>
      </c>
      <c r="D41" t="s">
        <v>156</v>
      </c>
      <c r="E41" t="s">
        <v>192</v>
      </c>
    </row>
    <row r="42" spans="1:5">
      <c r="A42">
        <v>41</v>
      </c>
      <c r="B42" t="s">
        <v>190</v>
      </c>
      <c r="C42" t="s">
        <v>160</v>
      </c>
      <c r="D42" t="s">
        <v>156</v>
      </c>
      <c r="E42" t="s">
        <v>192</v>
      </c>
    </row>
    <row r="43" spans="1:5">
      <c r="A43">
        <v>42</v>
      </c>
      <c r="B43" t="s">
        <v>193</v>
      </c>
      <c r="C43" t="s">
        <v>160</v>
      </c>
      <c r="D43" t="s">
        <v>156</v>
      </c>
      <c r="E43" t="s">
        <v>157</v>
      </c>
    </row>
    <row r="44" spans="1:5">
      <c r="A44">
        <v>43</v>
      </c>
      <c r="B44" t="s">
        <v>19</v>
      </c>
      <c r="C44" t="s">
        <v>160</v>
      </c>
      <c r="D44" t="s">
        <v>156</v>
      </c>
      <c r="E44" t="s">
        <v>157</v>
      </c>
    </row>
    <row r="45" spans="1:5">
      <c r="A45">
        <v>44</v>
      </c>
      <c r="B45" t="s">
        <v>194</v>
      </c>
      <c r="C45" t="s">
        <v>160</v>
      </c>
      <c r="D45" t="s">
        <v>156</v>
      </c>
      <c r="E45" t="s">
        <v>157</v>
      </c>
    </row>
    <row r="46" spans="1:5">
      <c r="A46">
        <v>45</v>
      </c>
      <c r="B46" t="s">
        <v>195</v>
      </c>
      <c r="C46" t="s">
        <v>160</v>
      </c>
      <c r="D46" t="s">
        <v>156</v>
      </c>
      <c r="E46" t="s">
        <v>157</v>
      </c>
    </row>
    <row r="47" spans="1:5">
      <c r="A47">
        <v>46</v>
      </c>
      <c r="B47" t="s">
        <v>196</v>
      </c>
      <c r="C47" t="s">
        <v>160</v>
      </c>
      <c r="D47" t="s">
        <v>156</v>
      </c>
      <c r="E47" t="s">
        <v>157</v>
      </c>
    </row>
    <row r="48" spans="1:5">
      <c r="A48">
        <v>47</v>
      </c>
      <c r="B48" t="s">
        <v>197</v>
      </c>
      <c r="C48" t="s">
        <v>160</v>
      </c>
      <c r="D48" t="s">
        <v>198</v>
      </c>
    </row>
    <row r="49" spans="1:5">
      <c r="A49">
        <v>48</v>
      </c>
      <c r="B49" t="s">
        <v>199</v>
      </c>
      <c r="C49" t="s">
        <v>160</v>
      </c>
      <c r="D49" t="s">
        <v>200</v>
      </c>
      <c r="E49" t="s">
        <v>201</v>
      </c>
    </row>
    <row r="50" spans="1:5">
      <c r="A50">
        <v>49</v>
      </c>
      <c r="B50" t="s">
        <v>202</v>
      </c>
      <c r="C50" t="s">
        <v>160</v>
      </c>
      <c r="D50" t="s">
        <v>200</v>
      </c>
      <c r="E50" t="s">
        <v>201</v>
      </c>
    </row>
    <row r="51" spans="1:5">
      <c r="A51">
        <v>50</v>
      </c>
      <c r="B51" t="s">
        <v>203</v>
      </c>
      <c r="C51" t="s">
        <v>160</v>
      </c>
      <c r="D51" t="s">
        <v>200</v>
      </c>
      <c r="E51" t="s">
        <v>201</v>
      </c>
    </row>
    <row r="52" spans="1:5">
      <c r="A52">
        <v>51</v>
      </c>
      <c r="B52" t="s">
        <v>204</v>
      </c>
      <c r="C52" t="s">
        <v>160</v>
      </c>
      <c r="D52" t="s">
        <v>200</v>
      </c>
      <c r="E52" t="s">
        <v>201</v>
      </c>
    </row>
    <row r="53" spans="1:5">
      <c r="A53">
        <v>52</v>
      </c>
      <c r="B53" t="s">
        <v>22</v>
      </c>
      <c r="C53" t="s">
        <v>160</v>
      </c>
      <c r="D53" t="s">
        <v>200</v>
      </c>
      <c r="E53" t="s">
        <v>201</v>
      </c>
    </row>
    <row r="54" spans="1:5">
      <c r="A54">
        <v>53</v>
      </c>
      <c r="B54" t="s">
        <v>205</v>
      </c>
      <c r="C54" t="s">
        <v>160</v>
      </c>
      <c r="D54" t="s">
        <v>200</v>
      </c>
      <c r="E54" t="s">
        <v>201</v>
      </c>
    </row>
    <row r="55" spans="1:5">
      <c r="A55">
        <v>54</v>
      </c>
      <c r="B55" t="s">
        <v>206</v>
      </c>
      <c r="C55" t="s">
        <v>160</v>
      </c>
      <c r="D55" t="s">
        <v>200</v>
      </c>
      <c r="E55" t="s">
        <v>228</v>
      </c>
    </row>
    <row r="56" spans="1:5">
      <c r="A56">
        <v>55</v>
      </c>
      <c r="B56" t="s">
        <v>207</v>
      </c>
      <c r="C56" t="s">
        <v>160</v>
      </c>
      <c r="D56" t="s">
        <v>200</v>
      </c>
      <c r="E56" t="s">
        <v>228</v>
      </c>
    </row>
    <row r="57" spans="1:5">
      <c r="A57">
        <v>56</v>
      </c>
      <c r="B57" t="s">
        <v>208</v>
      </c>
      <c r="C57" t="s">
        <v>160</v>
      </c>
      <c r="D57" t="s">
        <v>200</v>
      </c>
      <c r="E57" t="s">
        <v>229</v>
      </c>
    </row>
    <row r="58" spans="1:5">
      <c r="A58">
        <v>57</v>
      </c>
      <c r="B58" t="s">
        <v>209</v>
      </c>
      <c r="C58" t="s">
        <v>160</v>
      </c>
      <c r="D58" t="s">
        <v>200</v>
      </c>
      <c r="E58" t="s">
        <v>229</v>
      </c>
    </row>
    <row r="59" spans="1:5">
      <c r="A59">
        <v>58</v>
      </c>
      <c r="B59" t="s">
        <v>179</v>
      </c>
      <c r="C59" t="s">
        <v>160</v>
      </c>
      <c r="D59" t="s">
        <v>200</v>
      </c>
      <c r="E59" t="s">
        <v>230</v>
      </c>
    </row>
    <row r="60" spans="1:5">
      <c r="A60">
        <v>59</v>
      </c>
      <c r="B60" t="s">
        <v>210</v>
      </c>
      <c r="C60" t="s">
        <v>160</v>
      </c>
      <c r="D60" t="s">
        <v>200</v>
      </c>
      <c r="E60" t="s">
        <v>230</v>
      </c>
    </row>
    <row r="61" spans="1:5">
      <c r="A61">
        <v>60</v>
      </c>
      <c r="B61" t="s">
        <v>177</v>
      </c>
      <c r="C61" t="s">
        <v>160</v>
      </c>
      <c r="D61" t="s">
        <v>200</v>
      </c>
      <c r="E61" t="s">
        <v>230</v>
      </c>
    </row>
    <row r="62" spans="1:5">
      <c r="A62">
        <v>61</v>
      </c>
      <c r="B62" t="s">
        <v>211</v>
      </c>
      <c r="C62" t="s">
        <v>160</v>
      </c>
      <c r="D62" t="s">
        <v>200</v>
      </c>
      <c r="E62" t="s">
        <v>230</v>
      </c>
    </row>
    <row r="63" spans="1:5">
      <c r="A63">
        <v>62</v>
      </c>
      <c r="B63" t="s">
        <v>212</v>
      </c>
      <c r="C63" t="s">
        <v>160</v>
      </c>
      <c r="D63" t="s">
        <v>200</v>
      </c>
      <c r="E63" t="s">
        <v>231</v>
      </c>
    </row>
    <row r="64" spans="1:5">
      <c r="A64">
        <v>63</v>
      </c>
      <c r="B64" t="s">
        <v>213</v>
      </c>
      <c r="C64" t="s">
        <v>160</v>
      </c>
      <c r="D64" t="s">
        <v>200</v>
      </c>
      <c r="E64" t="s">
        <v>231</v>
      </c>
    </row>
    <row r="65" spans="1:5">
      <c r="A65">
        <v>64</v>
      </c>
      <c r="B65" t="s">
        <v>214</v>
      </c>
      <c r="C65" t="s">
        <v>160</v>
      </c>
      <c r="D65" t="s">
        <v>200</v>
      </c>
      <c r="E65" t="s">
        <v>231</v>
      </c>
    </row>
    <row r="66" spans="1:5">
      <c r="A66">
        <v>65</v>
      </c>
      <c r="B66" t="s">
        <v>215</v>
      </c>
      <c r="C66" t="s">
        <v>160</v>
      </c>
      <c r="D66" t="s">
        <v>200</v>
      </c>
      <c r="E66" t="s">
        <v>231</v>
      </c>
    </row>
    <row r="67" spans="1:5">
      <c r="A67">
        <v>66</v>
      </c>
      <c r="B67" t="s">
        <v>216</v>
      </c>
      <c r="C67" t="s">
        <v>160</v>
      </c>
      <c r="D67" t="s">
        <v>232</v>
      </c>
      <c r="E67" t="s">
        <v>201</v>
      </c>
    </row>
    <row r="68" spans="1:5">
      <c r="A68">
        <v>67</v>
      </c>
      <c r="B68" t="s">
        <v>217</v>
      </c>
      <c r="C68" t="s">
        <v>160</v>
      </c>
      <c r="D68" t="s">
        <v>232</v>
      </c>
      <c r="E68" t="s">
        <v>201</v>
      </c>
    </row>
    <row r="69" spans="1:5">
      <c r="A69">
        <v>68</v>
      </c>
      <c r="B69" t="s">
        <v>218</v>
      </c>
      <c r="C69" t="s">
        <v>160</v>
      </c>
      <c r="D69" t="s">
        <v>232</v>
      </c>
      <c r="E69" t="s">
        <v>201</v>
      </c>
    </row>
    <row r="70" spans="1:5">
      <c r="A70">
        <v>69</v>
      </c>
      <c r="B70" t="s">
        <v>219</v>
      </c>
      <c r="C70" t="s">
        <v>160</v>
      </c>
      <c r="D70" t="s">
        <v>232</v>
      </c>
      <c r="E70" t="s">
        <v>228</v>
      </c>
    </row>
    <row r="71" spans="1:5">
      <c r="A71">
        <v>70</v>
      </c>
      <c r="B71" t="s">
        <v>220</v>
      </c>
      <c r="C71" t="s">
        <v>160</v>
      </c>
      <c r="D71" t="s">
        <v>232</v>
      </c>
      <c r="E71" t="s">
        <v>228</v>
      </c>
    </row>
    <row r="72" spans="1:5">
      <c r="A72">
        <v>71</v>
      </c>
      <c r="B72" t="s">
        <v>221</v>
      </c>
      <c r="C72" t="s">
        <v>160</v>
      </c>
      <c r="D72" t="s">
        <v>232</v>
      </c>
      <c r="E72" t="s">
        <v>228</v>
      </c>
    </row>
    <row r="73" spans="1:5">
      <c r="A73">
        <v>72</v>
      </c>
      <c r="B73" t="s">
        <v>222</v>
      </c>
      <c r="C73" t="s">
        <v>160</v>
      </c>
      <c r="D73" t="s">
        <v>232</v>
      </c>
      <c r="E73" t="s">
        <v>228</v>
      </c>
    </row>
    <row r="74" spans="1:5">
      <c r="A74">
        <v>73</v>
      </c>
      <c r="B74" t="s">
        <v>223</v>
      </c>
      <c r="C74" t="s">
        <v>160</v>
      </c>
      <c r="D74" t="s">
        <v>232</v>
      </c>
      <c r="E74" t="s">
        <v>228</v>
      </c>
    </row>
    <row r="75" spans="1:5">
      <c r="A75">
        <v>74</v>
      </c>
      <c r="B75" t="s">
        <v>224</v>
      </c>
      <c r="C75" t="s">
        <v>160</v>
      </c>
      <c r="D75" t="s">
        <v>232</v>
      </c>
      <c r="E75" t="s">
        <v>228</v>
      </c>
    </row>
    <row r="76" spans="1:5">
      <c r="A76">
        <v>75</v>
      </c>
      <c r="B76" t="s">
        <v>225</v>
      </c>
      <c r="C76" t="s">
        <v>160</v>
      </c>
      <c r="D76" t="s">
        <v>232</v>
      </c>
      <c r="E76" t="s">
        <v>228</v>
      </c>
    </row>
    <row r="77" spans="1:5">
      <c r="A77">
        <v>76</v>
      </c>
      <c r="B77" t="s">
        <v>226</v>
      </c>
      <c r="C77" t="s">
        <v>160</v>
      </c>
      <c r="D77" t="s">
        <v>232</v>
      </c>
      <c r="E77" t="s">
        <v>228</v>
      </c>
    </row>
    <row r="78" spans="1:5">
      <c r="A78">
        <v>77</v>
      </c>
      <c r="B78" t="s">
        <v>227</v>
      </c>
      <c r="C78" t="s">
        <v>160</v>
      </c>
      <c r="D78" t="s">
        <v>232</v>
      </c>
      <c r="E78" t="s">
        <v>228</v>
      </c>
    </row>
    <row r="79" spans="1:5">
      <c r="A79">
        <v>78</v>
      </c>
      <c r="B79" t="s">
        <v>341</v>
      </c>
      <c r="C79" t="s">
        <v>160</v>
      </c>
      <c r="D79" t="s">
        <v>232</v>
      </c>
      <c r="E79" t="s">
        <v>228</v>
      </c>
    </row>
    <row r="80" spans="1:5">
      <c r="A80">
        <v>79</v>
      </c>
      <c r="B80" t="s">
        <v>233</v>
      </c>
      <c r="C80" t="s">
        <v>160</v>
      </c>
      <c r="D80" t="s">
        <v>232</v>
      </c>
      <c r="E80" t="s">
        <v>228</v>
      </c>
    </row>
    <row r="81" spans="1:5">
      <c r="A81">
        <v>80</v>
      </c>
      <c r="B81" t="s">
        <v>234</v>
      </c>
      <c r="C81" t="s">
        <v>160</v>
      </c>
      <c r="D81" t="s">
        <v>232</v>
      </c>
      <c r="E81" t="s">
        <v>228</v>
      </c>
    </row>
    <row r="82" spans="1:5">
      <c r="A82">
        <v>81</v>
      </c>
      <c r="B82" t="s">
        <v>206</v>
      </c>
      <c r="C82" t="s">
        <v>160</v>
      </c>
      <c r="D82" t="s">
        <v>232</v>
      </c>
      <c r="E82" t="s">
        <v>228</v>
      </c>
    </row>
    <row r="83" spans="1:5">
      <c r="A83">
        <v>82</v>
      </c>
      <c r="B83" t="s">
        <v>235</v>
      </c>
      <c r="C83" t="s">
        <v>160</v>
      </c>
      <c r="D83" t="s">
        <v>232</v>
      </c>
      <c r="E83" t="s">
        <v>229</v>
      </c>
    </row>
    <row r="84" spans="1:5">
      <c r="A84">
        <v>83</v>
      </c>
      <c r="B84" t="s">
        <v>236</v>
      </c>
      <c r="C84" t="s">
        <v>160</v>
      </c>
      <c r="D84" t="s">
        <v>232</v>
      </c>
      <c r="E84" t="s">
        <v>229</v>
      </c>
    </row>
    <row r="85" spans="1:5">
      <c r="A85">
        <v>84</v>
      </c>
      <c r="B85" t="s">
        <v>237</v>
      </c>
      <c r="C85" t="s">
        <v>160</v>
      </c>
      <c r="D85" t="s">
        <v>232</v>
      </c>
      <c r="E85" t="s">
        <v>229</v>
      </c>
    </row>
    <row r="86" spans="1:5">
      <c r="A86">
        <v>85</v>
      </c>
      <c r="B86" t="s">
        <v>238</v>
      </c>
      <c r="C86" t="s">
        <v>160</v>
      </c>
      <c r="D86" t="s">
        <v>232</v>
      </c>
      <c r="E86" t="s">
        <v>229</v>
      </c>
    </row>
    <row r="87" spans="1:5">
      <c r="A87">
        <v>86</v>
      </c>
      <c r="B87" t="s">
        <v>239</v>
      </c>
      <c r="C87" t="s">
        <v>160</v>
      </c>
      <c r="D87" t="s">
        <v>232</v>
      </c>
      <c r="E87" t="s">
        <v>229</v>
      </c>
    </row>
    <row r="88" spans="1:5">
      <c r="A88">
        <v>87</v>
      </c>
      <c r="B88" t="s">
        <v>240</v>
      </c>
      <c r="C88" t="s">
        <v>160</v>
      </c>
      <c r="D88" t="s">
        <v>232</v>
      </c>
      <c r="E88" t="s">
        <v>229</v>
      </c>
    </row>
    <row r="89" spans="1:5">
      <c r="A89">
        <v>88</v>
      </c>
      <c r="B89" t="s">
        <v>241</v>
      </c>
      <c r="C89" t="s">
        <v>160</v>
      </c>
      <c r="D89" t="s">
        <v>232</v>
      </c>
      <c r="E89" t="s">
        <v>229</v>
      </c>
    </row>
    <row r="90" spans="1:5">
      <c r="A90">
        <v>89</v>
      </c>
      <c r="B90" t="s">
        <v>242</v>
      </c>
      <c r="C90" t="s">
        <v>160</v>
      </c>
      <c r="D90" t="s">
        <v>232</v>
      </c>
      <c r="E90" t="s">
        <v>230</v>
      </c>
    </row>
    <row r="91" spans="1:5">
      <c r="A91">
        <v>90</v>
      </c>
      <c r="B91" t="s">
        <v>243</v>
      </c>
      <c r="C91" t="s">
        <v>160</v>
      </c>
      <c r="D91" t="s">
        <v>232</v>
      </c>
      <c r="E91" t="s">
        <v>230</v>
      </c>
    </row>
    <row r="92" spans="1:5">
      <c r="A92">
        <v>91</v>
      </c>
      <c r="B92" t="s">
        <v>244</v>
      </c>
      <c r="C92" t="s">
        <v>160</v>
      </c>
      <c r="D92" t="s">
        <v>232</v>
      </c>
      <c r="E92" t="s">
        <v>230</v>
      </c>
    </row>
    <row r="93" spans="1:5">
      <c r="A93">
        <v>92</v>
      </c>
      <c r="B93" t="s">
        <v>245</v>
      </c>
      <c r="C93" t="s">
        <v>160</v>
      </c>
      <c r="D93" t="s">
        <v>232</v>
      </c>
      <c r="E93" t="s">
        <v>252</v>
      </c>
    </row>
    <row r="94" spans="1:5">
      <c r="A94">
        <v>93</v>
      </c>
      <c r="B94" t="s">
        <v>246</v>
      </c>
      <c r="C94" t="s">
        <v>160</v>
      </c>
      <c r="D94" t="s">
        <v>232</v>
      </c>
      <c r="E94" t="s">
        <v>252</v>
      </c>
    </row>
    <row r="95" spans="1:5">
      <c r="A95">
        <v>94</v>
      </c>
      <c r="B95" t="s">
        <v>247</v>
      </c>
      <c r="C95" t="s">
        <v>160</v>
      </c>
      <c r="D95" t="s">
        <v>232</v>
      </c>
      <c r="E95" t="s">
        <v>252</v>
      </c>
    </row>
    <row r="96" spans="1:5">
      <c r="A96">
        <v>95</v>
      </c>
      <c r="B96" t="s">
        <v>248</v>
      </c>
      <c r="C96" t="s">
        <v>160</v>
      </c>
      <c r="D96" t="s">
        <v>232</v>
      </c>
      <c r="E96" t="s">
        <v>252</v>
      </c>
    </row>
    <row r="97" spans="1:5">
      <c r="A97">
        <v>96</v>
      </c>
      <c r="B97" t="s">
        <v>249</v>
      </c>
      <c r="C97" t="s">
        <v>160</v>
      </c>
      <c r="D97" t="s">
        <v>232</v>
      </c>
      <c r="E97" t="s">
        <v>252</v>
      </c>
    </row>
    <row r="98" spans="1:5">
      <c r="A98">
        <v>97</v>
      </c>
      <c r="B98" t="s">
        <v>250</v>
      </c>
      <c r="C98" t="s">
        <v>160</v>
      </c>
      <c r="D98" t="s">
        <v>232</v>
      </c>
      <c r="E98" t="s">
        <v>252</v>
      </c>
    </row>
    <row r="99" spans="1:5">
      <c r="A99">
        <v>98</v>
      </c>
      <c r="B99" t="s">
        <v>251</v>
      </c>
      <c r="C99" t="s">
        <v>160</v>
      </c>
      <c r="D99" t="s">
        <v>232</v>
      </c>
      <c r="E99" t="s">
        <v>252</v>
      </c>
    </row>
    <row r="100" spans="1:5">
      <c r="A100">
        <v>99</v>
      </c>
      <c r="B100" t="s">
        <v>253</v>
      </c>
      <c r="C100" t="s">
        <v>160</v>
      </c>
      <c r="D100" t="s">
        <v>232</v>
      </c>
      <c r="E100" t="s">
        <v>252</v>
      </c>
    </row>
    <row r="101" spans="1:5">
      <c r="A101">
        <v>100</v>
      </c>
      <c r="B101" t="s">
        <v>254</v>
      </c>
      <c r="C101" t="s">
        <v>160</v>
      </c>
      <c r="D101" t="s">
        <v>232</v>
      </c>
      <c r="E101" t="s">
        <v>231</v>
      </c>
    </row>
    <row r="102" spans="1:5">
      <c r="A102">
        <v>101</v>
      </c>
      <c r="B102" t="s">
        <v>255</v>
      </c>
      <c r="C102" t="s">
        <v>160</v>
      </c>
      <c r="D102" t="s">
        <v>232</v>
      </c>
      <c r="E102" t="s">
        <v>231</v>
      </c>
    </row>
    <row r="103" spans="1:5">
      <c r="A103">
        <v>102</v>
      </c>
      <c r="B103" t="s">
        <v>212</v>
      </c>
      <c r="C103" t="s">
        <v>160</v>
      </c>
      <c r="D103" t="s">
        <v>232</v>
      </c>
      <c r="E103" t="s">
        <v>231</v>
      </c>
    </row>
    <row r="104" spans="1:5">
      <c r="A104">
        <v>103</v>
      </c>
      <c r="B104" t="s">
        <v>256</v>
      </c>
      <c r="C104" t="s">
        <v>160</v>
      </c>
      <c r="D104" t="s">
        <v>232</v>
      </c>
      <c r="E104" t="s">
        <v>231</v>
      </c>
    </row>
    <row r="105" spans="1:5">
      <c r="A105">
        <v>104</v>
      </c>
      <c r="B105" t="s">
        <v>257</v>
      </c>
      <c r="C105" t="s">
        <v>160</v>
      </c>
      <c r="D105" t="s">
        <v>232</v>
      </c>
      <c r="E105" t="s">
        <v>231</v>
      </c>
    </row>
    <row r="106" spans="1:5">
      <c r="A106">
        <v>105</v>
      </c>
      <c r="B106" t="s">
        <v>258</v>
      </c>
      <c r="C106" t="s">
        <v>160</v>
      </c>
      <c r="D106" t="s">
        <v>232</v>
      </c>
      <c r="E106" t="s">
        <v>231</v>
      </c>
    </row>
    <row r="107" spans="1:5">
      <c r="A107">
        <v>106</v>
      </c>
      <c r="B107" t="s">
        <v>259</v>
      </c>
      <c r="C107" t="s">
        <v>160</v>
      </c>
      <c r="D107" t="s">
        <v>232</v>
      </c>
      <c r="E107" t="s">
        <v>231</v>
      </c>
    </row>
    <row r="108" spans="1:5">
      <c r="A108">
        <v>107</v>
      </c>
      <c r="B108" t="s">
        <v>260</v>
      </c>
      <c r="C108" t="s">
        <v>160</v>
      </c>
      <c r="D108" t="s">
        <v>232</v>
      </c>
      <c r="E108" t="s">
        <v>231</v>
      </c>
    </row>
    <row r="109" spans="1:5">
      <c r="A109">
        <v>108</v>
      </c>
      <c r="B109" t="s">
        <v>261</v>
      </c>
      <c r="C109" t="s">
        <v>160</v>
      </c>
      <c r="D109" t="s">
        <v>289</v>
      </c>
    </row>
    <row r="110" spans="1:5">
      <c r="A110">
        <v>109</v>
      </c>
      <c r="B110" t="s">
        <v>262</v>
      </c>
      <c r="C110" t="s">
        <v>160</v>
      </c>
      <c r="D110" t="s">
        <v>289</v>
      </c>
    </row>
    <row r="111" spans="1:5">
      <c r="A111">
        <v>110</v>
      </c>
      <c r="B111" t="s">
        <v>261</v>
      </c>
      <c r="C111" t="s">
        <v>160</v>
      </c>
      <c r="D111" t="s">
        <v>289</v>
      </c>
    </row>
    <row r="112" spans="1:5">
      <c r="A112">
        <v>111</v>
      </c>
      <c r="B112" t="s">
        <v>263</v>
      </c>
      <c r="C112" t="s">
        <v>160</v>
      </c>
      <c r="D112" t="s">
        <v>290</v>
      </c>
    </row>
    <row r="113" spans="1:5">
      <c r="A113">
        <v>112</v>
      </c>
      <c r="B113" t="s">
        <v>264</v>
      </c>
      <c r="C113" t="s">
        <v>160</v>
      </c>
      <c r="D113" t="s">
        <v>290</v>
      </c>
    </row>
    <row r="114" spans="1:5">
      <c r="A114">
        <v>113</v>
      </c>
      <c r="B114" t="s">
        <v>265</v>
      </c>
      <c r="C114" t="s">
        <v>160</v>
      </c>
      <c r="D114" t="s">
        <v>290</v>
      </c>
    </row>
    <row r="115" spans="1:5">
      <c r="A115">
        <v>114</v>
      </c>
      <c r="B115" t="s">
        <v>266</v>
      </c>
      <c r="C115" t="s">
        <v>160</v>
      </c>
      <c r="D115" t="s">
        <v>290</v>
      </c>
    </row>
    <row r="116" spans="1:5">
      <c r="A116">
        <v>115</v>
      </c>
      <c r="B116" t="s">
        <v>267</v>
      </c>
      <c r="C116" t="s">
        <v>160</v>
      </c>
      <c r="D116" t="s">
        <v>290</v>
      </c>
    </row>
    <row r="117" spans="1:5">
      <c r="A117">
        <v>116</v>
      </c>
      <c r="B117" t="s">
        <v>268</v>
      </c>
      <c r="C117" t="s">
        <v>160</v>
      </c>
      <c r="D117" t="s">
        <v>290</v>
      </c>
    </row>
    <row r="118" spans="1:5">
      <c r="A118">
        <v>117</v>
      </c>
      <c r="B118" t="s">
        <v>269</v>
      </c>
      <c r="C118" t="s">
        <v>160</v>
      </c>
      <c r="D118" t="s">
        <v>290</v>
      </c>
    </row>
    <row r="119" spans="1:5">
      <c r="A119">
        <v>118</v>
      </c>
      <c r="B119" t="s">
        <v>270</v>
      </c>
      <c r="C119" t="s">
        <v>160</v>
      </c>
      <c r="D119" t="s">
        <v>290</v>
      </c>
    </row>
    <row r="120" spans="1:5">
      <c r="A120">
        <v>119</v>
      </c>
      <c r="B120" t="s">
        <v>271</v>
      </c>
      <c r="C120" t="s">
        <v>160</v>
      </c>
      <c r="D120" t="s">
        <v>290</v>
      </c>
    </row>
    <row r="121" spans="1:5">
      <c r="A121">
        <v>120</v>
      </c>
      <c r="B121" t="s">
        <v>272</v>
      </c>
      <c r="C121" t="s">
        <v>160</v>
      </c>
      <c r="D121" t="s">
        <v>291</v>
      </c>
    </row>
    <row r="122" spans="1:5">
      <c r="A122">
        <v>121</v>
      </c>
      <c r="B122" t="s">
        <v>273</v>
      </c>
      <c r="C122" t="s">
        <v>160</v>
      </c>
      <c r="D122" t="s">
        <v>291</v>
      </c>
    </row>
    <row r="123" spans="1:5">
      <c r="A123">
        <v>122</v>
      </c>
      <c r="B123" t="s">
        <v>274</v>
      </c>
      <c r="C123" t="s">
        <v>160</v>
      </c>
      <c r="D123" t="s">
        <v>291</v>
      </c>
    </row>
    <row r="124" spans="1:5">
      <c r="A124">
        <v>123</v>
      </c>
      <c r="B124" t="s">
        <v>275</v>
      </c>
      <c r="C124" t="s">
        <v>160</v>
      </c>
      <c r="D124" t="s">
        <v>291</v>
      </c>
    </row>
    <row r="125" spans="1:5">
      <c r="A125">
        <v>124</v>
      </c>
      <c r="B125" t="s">
        <v>276</v>
      </c>
      <c r="C125" t="s">
        <v>160</v>
      </c>
      <c r="D125" t="s">
        <v>292</v>
      </c>
    </row>
    <row r="126" spans="1:5">
      <c r="A126">
        <v>125</v>
      </c>
      <c r="B126" t="s">
        <v>277</v>
      </c>
      <c r="C126" t="s">
        <v>160</v>
      </c>
      <c r="D126" t="s">
        <v>292</v>
      </c>
    </row>
    <row r="127" spans="1:5">
      <c r="A127">
        <v>126</v>
      </c>
      <c r="B127" t="s">
        <v>278</v>
      </c>
      <c r="C127" t="s">
        <v>160</v>
      </c>
      <c r="D127" t="s">
        <v>293</v>
      </c>
      <c r="E127" t="s">
        <v>294</v>
      </c>
    </row>
    <row r="128" spans="1:5">
      <c r="A128">
        <v>127</v>
      </c>
      <c r="B128" t="s">
        <v>279</v>
      </c>
      <c r="C128" t="s">
        <v>160</v>
      </c>
      <c r="D128" t="s">
        <v>293</v>
      </c>
      <c r="E128" t="s">
        <v>294</v>
      </c>
    </row>
    <row r="129" spans="1:5">
      <c r="A129">
        <v>128</v>
      </c>
      <c r="B129" t="s">
        <v>295</v>
      </c>
      <c r="C129" t="s">
        <v>160</v>
      </c>
      <c r="D129" t="s">
        <v>293</v>
      </c>
      <c r="E129" t="s">
        <v>294</v>
      </c>
    </row>
    <row r="130" spans="1:5">
      <c r="A130">
        <v>129</v>
      </c>
      <c r="B130" t="s">
        <v>280</v>
      </c>
      <c r="C130" t="s">
        <v>160</v>
      </c>
      <c r="D130" t="s">
        <v>293</v>
      </c>
      <c r="E130" t="s">
        <v>201</v>
      </c>
    </row>
    <row r="131" spans="1:5">
      <c r="A131">
        <v>130</v>
      </c>
      <c r="B131" t="s">
        <v>281</v>
      </c>
      <c r="C131" t="s">
        <v>160</v>
      </c>
      <c r="D131" t="s">
        <v>293</v>
      </c>
      <c r="E131" t="s">
        <v>296</v>
      </c>
    </row>
    <row r="132" spans="1:5">
      <c r="A132">
        <v>131</v>
      </c>
      <c r="B132" t="s">
        <v>282</v>
      </c>
      <c r="C132" t="s">
        <v>160</v>
      </c>
      <c r="D132" t="s">
        <v>293</v>
      </c>
      <c r="E132" t="s">
        <v>296</v>
      </c>
    </row>
    <row r="133" spans="1:5">
      <c r="A133">
        <v>132</v>
      </c>
      <c r="B133" t="s">
        <v>283</v>
      </c>
      <c r="C133" t="s">
        <v>160</v>
      </c>
      <c r="D133" t="s">
        <v>293</v>
      </c>
      <c r="E133" t="s">
        <v>297</v>
      </c>
    </row>
    <row r="134" spans="1:5">
      <c r="A134">
        <v>133</v>
      </c>
      <c r="B134" t="s">
        <v>284</v>
      </c>
      <c r="C134" t="s">
        <v>298</v>
      </c>
      <c r="D134" t="s">
        <v>299</v>
      </c>
      <c r="E134" t="s">
        <v>300</v>
      </c>
    </row>
    <row r="135" spans="1:5">
      <c r="A135">
        <v>134</v>
      </c>
      <c r="B135" t="s">
        <v>285</v>
      </c>
      <c r="C135" t="s">
        <v>298</v>
      </c>
      <c r="D135" t="s">
        <v>299</v>
      </c>
      <c r="E135" t="s">
        <v>300</v>
      </c>
    </row>
    <row r="136" spans="1:5">
      <c r="A136">
        <v>135</v>
      </c>
      <c r="B136" t="s">
        <v>286</v>
      </c>
      <c r="C136" t="s">
        <v>298</v>
      </c>
      <c r="D136" t="s">
        <v>299</v>
      </c>
      <c r="E136" t="s">
        <v>300</v>
      </c>
    </row>
    <row r="137" spans="1:5">
      <c r="A137">
        <v>136</v>
      </c>
      <c r="B137" t="s">
        <v>287</v>
      </c>
      <c r="C137" t="s">
        <v>298</v>
      </c>
      <c r="D137" t="s">
        <v>299</v>
      </c>
      <c r="E137" t="s">
        <v>300</v>
      </c>
    </row>
    <row r="138" spans="1:5">
      <c r="A138">
        <v>137</v>
      </c>
      <c r="B138" t="s">
        <v>288</v>
      </c>
      <c r="C138" t="s">
        <v>298</v>
      </c>
      <c r="D138" t="s">
        <v>299</v>
      </c>
      <c r="E138" t="s">
        <v>300</v>
      </c>
    </row>
    <row r="139" spans="1:5">
      <c r="A139">
        <v>138</v>
      </c>
      <c r="B139" t="s">
        <v>301</v>
      </c>
      <c r="C139" t="s">
        <v>298</v>
      </c>
      <c r="D139" t="s">
        <v>299</v>
      </c>
      <c r="E139" t="s">
        <v>300</v>
      </c>
    </row>
    <row r="140" spans="1:5">
      <c r="A140">
        <v>139</v>
      </c>
      <c r="B140" t="s">
        <v>302</v>
      </c>
      <c r="C140" t="s">
        <v>298</v>
      </c>
      <c r="D140" t="s">
        <v>299</v>
      </c>
      <c r="E140" t="s">
        <v>300</v>
      </c>
    </row>
    <row r="141" spans="1:5">
      <c r="A141">
        <v>140</v>
      </c>
      <c r="B141" t="s">
        <v>303</v>
      </c>
      <c r="C141" t="s">
        <v>298</v>
      </c>
      <c r="D141" t="s">
        <v>299</v>
      </c>
      <c r="E141" t="s">
        <v>300</v>
      </c>
    </row>
    <row r="142" spans="1:5">
      <c r="A142">
        <v>141</v>
      </c>
      <c r="B142" t="s">
        <v>304</v>
      </c>
      <c r="C142" t="s">
        <v>298</v>
      </c>
      <c r="D142" t="s">
        <v>299</v>
      </c>
      <c r="E142" t="s">
        <v>300</v>
      </c>
    </row>
    <row r="143" spans="1:5">
      <c r="A143">
        <v>142</v>
      </c>
      <c r="B143" t="s">
        <v>305</v>
      </c>
      <c r="C143" t="s">
        <v>298</v>
      </c>
      <c r="D143" t="s">
        <v>299</v>
      </c>
      <c r="E143" t="s">
        <v>300</v>
      </c>
    </row>
    <row r="144" spans="1:5">
      <c r="A144">
        <v>143</v>
      </c>
      <c r="B144" t="s">
        <v>306</v>
      </c>
      <c r="C144" t="s">
        <v>298</v>
      </c>
      <c r="D144" t="s">
        <v>200</v>
      </c>
      <c r="E144" t="s">
        <v>334</v>
      </c>
    </row>
    <row r="145" spans="1:5">
      <c r="A145">
        <v>144</v>
      </c>
      <c r="B145" t="s">
        <v>307</v>
      </c>
      <c r="C145" t="s">
        <v>298</v>
      </c>
      <c r="D145" t="s">
        <v>200</v>
      </c>
      <c r="E145" t="s">
        <v>334</v>
      </c>
    </row>
    <row r="146" spans="1:5">
      <c r="A146">
        <v>145</v>
      </c>
      <c r="B146" t="s">
        <v>308</v>
      </c>
      <c r="C146" t="s">
        <v>298</v>
      </c>
      <c r="D146" t="s">
        <v>200</v>
      </c>
      <c r="E146" t="s">
        <v>334</v>
      </c>
    </row>
    <row r="147" spans="1:5">
      <c r="A147">
        <v>146</v>
      </c>
      <c r="B147" t="s">
        <v>309</v>
      </c>
      <c r="C147" t="s">
        <v>298</v>
      </c>
      <c r="D147" t="s">
        <v>200</v>
      </c>
      <c r="E147" t="s">
        <v>334</v>
      </c>
    </row>
    <row r="148" spans="1:5">
      <c r="A148">
        <v>147</v>
      </c>
      <c r="B148" t="s">
        <v>310</v>
      </c>
      <c r="C148" t="s">
        <v>298</v>
      </c>
      <c r="D148" t="s">
        <v>200</v>
      </c>
      <c r="E148" t="s">
        <v>334</v>
      </c>
    </row>
    <row r="149" spans="1:5">
      <c r="A149">
        <v>148</v>
      </c>
      <c r="B149" t="s">
        <v>311</v>
      </c>
      <c r="C149" t="s">
        <v>298</v>
      </c>
      <c r="D149" t="s">
        <v>200</v>
      </c>
      <c r="E149" t="s">
        <v>334</v>
      </c>
    </row>
    <row r="150" spans="1:5">
      <c r="A150">
        <v>149</v>
      </c>
      <c r="B150" t="s">
        <v>312</v>
      </c>
      <c r="C150" t="s">
        <v>298</v>
      </c>
      <c r="D150" t="s">
        <v>200</v>
      </c>
      <c r="E150" t="s">
        <v>334</v>
      </c>
    </row>
    <row r="151" spans="1:5">
      <c r="A151">
        <v>150</v>
      </c>
      <c r="B151" t="s">
        <v>313</v>
      </c>
      <c r="C151" t="s">
        <v>298</v>
      </c>
      <c r="D151" t="s">
        <v>232</v>
      </c>
      <c r="E151" t="s">
        <v>334</v>
      </c>
    </row>
    <row r="152" spans="1:5">
      <c r="A152">
        <v>151</v>
      </c>
      <c r="B152" t="s">
        <v>314</v>
      </c>
      <c r="C152" t="s">
        <v>298</v>
      </c>
      <c r="D152" t="s">
        <v>232</v>
      </c>
      <c r="E152" t="s">
        <v>334</v>
      </c>
    </row>
    <row r="153" spans="1:5">
      <c r="A153">
        <v>152</v>
      </c>
      <c r="B153" t="s">
        <v>314</v>
      </c>
      <c r="C153" t="s">
        <v>298</v>
      </c>
      <c r="D153" t="s">
        <v>232</v>
      </c>
      <c r="E153" t="s">
        <v>334</v>
      </c>
    </row>
    <row r="154" spans="1:5">
      <c r="A154">
        <v>153</v>
      </c>
      <c r="B154" t="s">
        <v>315</v>
      </c>
      <c r="C154" t="s">
        <v>298</v>
      </c>
      <c r="D154" t="s">
        <v>232</v>
      </c>
      <c r="E154" t="s">
        <v>334</v>
      </c>
    </row>
    <row r="155" spans="1:5">
      <c r="A155">
        <v>154</v>
      </c>
      <c r="B155" t="s">
        <v>316</v>
      </c>
      <c r="C155" t="s">
        <v>298</v>
      </c>
      <c r="D155" t="s">
        <v>232</v>
      </c>
      <c r="E155" t="s">
        <v>334</v>
      </c>
    </row>
    <row r="156" spans="1:5">
      <c r="A156">
        <v>155</v>
      </c>
      <c r="B156" t="s">
        <v>317</v>
      </c>
      <c r="C156" t="s">
        <v>298</v>
      </c>
      <c r="D156" t="s">
        <v>232</v>
      </c>
      <c r="E156" t="s">
        <v>334</v>
      </c>
    </row>
    <row r="157" spans="1:5">
      <c r="A157">
        <v>156</v>
      </c>
      <c r="B157" t="s">
        <v>318</v>
      </c>
      <c r="C157" t="s">
        <v>298</v>
      </c>
      <c r="D157" t="s">
        <v>232</v>
      </c>
      <c r="E157" t="s">
        <v>334</v>
      </c>
    </row>
    <row r="158" spans="1:5">
      <c r="A158">
        <v>157</v>
      </c>
      <c r="B158" t="s">
        <v>319</v>
      </c>
      <c r="C158" t="s">
        <v>298</v>
      </c>
      <c r="D158" t="s">
        <v>232</v>
      </c>
      <c r="E158" t="s">
        <v>334</v>
      </c>
    </row>
    <row r="159" spans="1:5">
      <c r="A159">
        <v>158</v>
      </c>
      <c r="B159" t="s">
        <v>320</v>
      </c>
      <c r="C159" t="s">
        <v>298</v>
      </c>
      <c r="D159" t="s">
        <v>232</v>
      </c>
      <c r="E159" t="s">
        <v>334</v>
      </c>
    </row>
    <row r="160" spans="1:5">
      <c r="A160">
        <v>159</v>
      </c>
      <c r="B160" t="s">
        <v>321</v>
      </c>
      <c r="C160" t="s">
        <v>298</v>
      </c>
      <c r="D160" t="s">
        <v>232</v>
      </c>
      <c r="E160" t="s">
        <v>334</v>
      </c>
    </row>
    <row r="161" spans="1:5">
      <c r="A161">
        <v>160</v>
      </c>
      <c r="B161" t="s">
        <v>322</v>
      </c>
      <c r="C161" t="s">
        <v>298</v>
      </c>
      <c r="D161" t="s">
        <v>232</v>
      </c>
      <c r="E161" t="s">
        <v>334</v>
      </c>
    </row>
    <row r="162" spans="1:5">
      <c r="A162">
        <v>161</v>
      </c>
      <c r="B162" t="s">
        <v>323</v>
      </c>
      <c r="C162" t="s">
        <v>298</v>
      </c>
      <c r="D162" t="s">
        <v>292</v>
      </c>
    </row>
    <row r="163" spans="1:5">
      <c r="A163">
        <v>162</v>
      </c>
      <c r="B163" t="s">
        <v>324</v>
      </c>
      <c r="C163" t="s">
        <v>298</v>
      </c>
      <c r="D163" t="s">
        <v>292</v>
      </c>
    </row>
    <row r="164" spans="1:5">
      <c r="A164">
        <v>163</v>
      </c>
      <c r="B164" t="s">
        <v>325</v>
      </c>
      <c r="C164" t="s">
        <v>298</v>
      </c>
      <c r="D164" t="s">
        <v>292</v>
      </c>
    </row>
    <row r="165" spans="1:5">
      <c r="A165">
        <v>164</v>
      </c>
      <c r="B165" t="s">
        <v>292</v>
      </c>
      <c r="C165" t="s">
        <v>298</v>
      </c>
      <c r="D165" t="s">
        <v>292</v>
      </c>
    </row>
    <row r="166" spans="1:5">
      <c r="A166">
        <v>165</v>
      </c>
      <c r="B166" t="s">
        <v>332</v>
      </c>
      <c r="C166" t="s">
        <v>298</v>
      </c>
      <c r="D166" t="s">
        <v>292</v>
      </c>
    </row>
    <row r="167" spans="1:5">
      <c r="A167">
        <v>166</v>
      </c>
      <c r="B167" t="s">
        <v>326</v>
      </c>
      <c r="C167" t="s">
        <v>298</v>
      </c>
      <c r="D167" t="s">
        <v>292</v>
      </c>
    </row>
    <row r="168" spans="1:5">
      <c r="A168">
        <v>167</v>
      </c>
      <c r="B168" t="s">
        <v>327</v>
      </c>
      <c r="C168" t="s">
        <v>298</v>
      </c>
      <c r="D168" t="s">
        <v>292</v>
      </c>
    </row>
    <row r="169" spans="1:5">
      <c r="A169">
        <v>168</v>
      </c>
      <c r="B169" t="s">
        <v>328</v>
      </c>
      <c r="C169" t="s">
        <v>298</v>
      </c>
      <c r="D169" t="s">
        <v>293</v>
      </c>
      <c r="E169" t="s">
        <v>294</v>
      </c>
    </row>
    <row r="170" spans="1:5">
      <c r="A170">
        <v>169</v>
      </c>
      <c r="B170" t="s">
        <v>333</v>
      </c>
      <c r="C170" t="s">
        <v>298</v>
      </c>
      <c r="D170" t="s">
        <v>293</v>
      </c>
      <c r="E170" t="s">
        <v>296</v>
      </c>
    </row>
    <row r="171" spans="1:5">
      <c r="A171">
        <v>170</v>
      </c>
      <c r="B171" t="s">
        <v>329</v>
      </c>
      <c r="C171" t="s">
        <v>298</v>
      </c>
      <c r="D171" t="s">
        <v>293</v>
      </c>
      <c r="E171" t="s">
        <v>335</v>
      </c>
    </row>
    <row r="172" spans="1:5">
      <c r="A172">
        <v>171</v>
      </c>
      <c r="B172" t="s">
        <v>330</v>
      </c>
      <c r="C172" t="s">
        <v>298</v>
      </c>
      <c r="D172" t="s">
        <v>293</v>
      </c>
      <c r="E172" t="s">
        <v>336</v>
      </c>
    </row>
    <row r="173" spans="1:5">
      <c r="A173">
        <v>172</v>
      </c>
      <c r="B173" t="s">
        <v>331</v>
      </c>
      <c r="C173" t="s">
        <v>298</v>
      </c>
      <c r="D173" t="s">
        <v>293</v>
      </c>
      <c r="E173" t="s">
        <v>337</v>
      </c>
    </row>
  </sheetData>
  <autoFilter ref="A1:E173" xr:uid="{BB0899C5-7C51-4E61-812E-A5D1CDDDD41B}"/>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33</vt:i4>
      </vt:variant>
    </vt:vector>
  </HeadingPairs>
  <TitlesOfParts>
    <vt:vector size="42" baseType="lpstr">
      <vt:lpstr>2024_2025</vt:lpstr>
      <vt:lpstr>2025_2025</vt:lpstr>
      <vt:lpstr>ATRASOS</vt:lpstr>
      <vt:lpstr>PROGRESIÓN SALARIAL</vt:lpstr>
      <vt:lpstr> CONCEPTOS EN NÓMINA</vt:lpstr>
      <vt:lpstr>TABLAS</vt:lpstr>
      <vt:lpstr>Versiones</vt:lpstr>
      <vt:lpstr>LISTAS</vt:lpstr>
      <vt:lpstr>registro retributivo</vt:lpstr>
      <vt:lpstr>absorbe_solo_tablas</vt:lpstr>
      <vt:lpstr>años_antiguedad</vt:lpstr>
      <vt:lpstr>' CONCEPTOS EN NÓMINA'!Área_de_impresión</vt:lpstr>
      <vt:lpstr>'2024_2025'!Área_de_impresión</vt:lpstr>
      <vt:lpstr>'2025_2025'!Área_de_impresión</vt:lpstr>
      <vt:lpstr>ATRASOS!Área_de_impresión</vt:lpstr>
      <vt:lpstr>'PROGRESIÓN SALARIAL'!Área_de_impresión</vt:lpstr>
      <vt:lpstr>TABLAS!Área_de_impresión</vt:lpstr>
      <vt:lpstr>cat</vt:lpstr>
      <vt:lpstr>cat_2024</vt:lpstr>
      <vt:lpstr>cat_2025</vt:lpstr>
      <vt:lpstr>categorias2024</vt:lpstr>
      <vt:lpstr>categorias2025</vt:lpstr>
      <vt:lpstr>Complemento_absorbe_Antig</vt:lpstr>
      <vt:lpstr>Complemento_Absorbible</vt:lpstr>
      <vt:lpstr>Complemento_Absorbible_2025</vt:lpstr>
      <vt:lpstr>consolidado</vt:lpstr>
      <vt:lpstr>Descuentos</vt:lpstr>
      <vt:lpstr>EX_PLUS_CONVENIO_2022</vt:lpstr>
      <vt:lpstr>EX_SALARIO_BASE_2022</vt:lpstr>
      <vt:lpstr>Gastos_Teletrabajo</vt:lpstr>
      <vt:lpstr>Otros_Conceptos</vt:lpstr>
      <vt:lpstr>Otros_conceptos_extrasalariales</vt:lpstr>
      <vt:lpstr>Otros_conceptos_NO_PSI</vt:lpstr>
      <vt:lpstr>Otros_conceptos_PSI</vt:lpstr>
      <vt:lpstr>prorrata</vt:lpstr>
      <vt:lpstr>subida</vt:lpstr>
      <vt:lpstr>T_2024</vt:lpstr>
      <vt:lpstr>T_2025</vt:lpstr>
      <vt:lpstr>T_2026</vt:lpstr>
      <vt:lpstr>T_2027</vt:lpstr>
      <vt:lpstr>TABLAS!Títulos_a_imprimir</vt:lpstr>
      <vt:lpstr>ver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Martinez, Maria Carmen</dc:creator>
  <cp:lastModifiedBy>Perez Martinez, Maria Carmen</cp:lastModifiedBy>
  <cp:lastPrinted>2025-04-29T11:43:39Z</cp:lastPrinted>
  <dcterms:created xsi:type="dcterms:W3CDTF">2025-01-16T08:31:47Z</dcterms:created>
  <dcterms:modified xsi:type="dcterms:W3CDTF">2025-04-29T15:11:57Z</dcterms:modified>
</cp:coreProperties>
</file>